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DieseArbeitsmappe"/>
  <mc:AlternateContent xmlns:mc="http://schemas.openxmlformats.org/markup-compatibility/2006">
    <mc:Choice Requires="x15">
      <x15ac:absPath xmlns:x15ac="http://schemas.microsoft.com/office/spreadsheetml/2010/11/ac" url="https://fokuse-my.sharepoint.com/personal/patrik_kuettel_fokuse_onmicrosoft_com/Documents/#Daten/23_QMH-Entwicklungsprojekte/2016_BFE_QMH_Wirtschaftlichkeitsrechnung/3_Resultate/Version5/"/>
    </mc:Choice>
  </mc:AlternateContent>
  <xr:revisionPtr revIDLastSave="0" documentId="8_{E5083897-B8C9-4F46-A85D-DC92F197114C}" xr6:coauthVersionLast="47" xr6:coauthVersionMax="47" xr10:uidLastSave="{00000000-0000-0000-0000-000000000000}"/>
  <bookViews>
    <workbookView xWindow="28680" yWindow="-120" windowWidth="29040" windowHeight="17640" tabRatio="481" xr2:uid="{00000000-000D-0000-FFFF-FFFF00000000}"/>
  </bookViews>
  <sheets>
    <sheet name="I1_Erläuterung" sheetId="4" r:id="rId1"/>
    <sheet name="E1_Projektdaten" sheetId="9" r:id="rId2"/>
    <sheet name="E2_Wärmepreis" sheetId="6" r:id="rId3"/>
    <sheet name="E3_Verbraucher" sheetId="15" r:id="rId4"/>
    <sheet name="B1_Berechnungen" sheetId="8" r:id="rId5"/>
    <sheet name="A1_Ergebnisse" sheetId="16" r:id="rId6"/>
    <sheet name="A2_NPV-Daten" sheetId="14" r:id="rId7"/>
  </sheets>
  <definedNames>
    <definedName name="Anteil_fossil_erzeugt">E1_Projektdaten!$D$27</definedName>
    <definedName name="_xlnm.Print_Area" localSheetId="5">A1_Ergebnisse!$B$1:$M$59</definedName>
    <definedName name="_xlnm.Print_Area" localSheetId="4">B1_Berechnungen!$B$1:$AG$60</definedName>
    <definedName name="_xlnm.Print_Area" localSheetId="1">E1_Projektdaten!$B$1:$N$104</definedName>
    <definedName name="_xlnm.Print_Area" localSheetId="2">E2_Wärmepreis!$B$1:$I$38</definedName>
    <definedName name="_xlnm.Print_Area" localSheetId="3">E3_Verbraucher!$B$1:$GB$29</definedName>
    <definedName name="_xlnm.Print_Titles" localSheetId="1">E1_Projektdaten!$1:$2</definedName>
    <definedName name="_xlnm.Print_Titles" localSheetId="3">E3_Verbraucher!$B:$C</definedName>
    <definedName name="_xlnm.Print_Titles" localSheetId="0">I1_Erläuterung!$3:$3</definedName>
    <definedName name="Eing_Abnehmerart1">E2_Wärmepreis!$D$14</definedName>
    <definedName name="Eing_Abnehmerart2">E2_Wärmepreis!$D$20</definedName>
    <definedName name="Eing_Abnehmerart3">E2_Wärmepreis!$D$26</definedName>
    <definedName name="Eing_Abnehmerart4">E2_Wärmepreis!$D$32</definedName>
    <definedName name="Eing_Administration">E1_Projektdaten!$D$36</definedName>
    <definedName name="Eing_allg_Teuerung">E1_Projektdaten!$D$41</definedName>
    <definedName name="Eing_Anteil_Biomasse">E1_Projektdaten!$D$26</definedName>
    <definedName name="Eing_Arbeitspreis1">E2_Wärmepreis!$G$16</definedName>
    <definedName name="Eing_Arbeitspreis2">E2_Wärmepreis!$G$22</definedName>
    <definedName name="Eing_Arbeitspreis3">E2_Wärmepreis!$G$28</definedName>
    <definedName name="Eing_Arbeitspreis4">E2_Wärmepreis!$G$34</definedName>
    <definedName name="Eing_Beginnjahr">E1_Projektdaten!$D$21</definedName>
    <definedName name="Eing_Betriebskosten">E1_Projektdaten!$D$35</definedName>
    <definedName name="Eing_Förderung_wiederholend_Laufzeit">E1_Projektdaten!$D$82</definedName>
    <definedName name="Eing_Jahresnutzungsgrad_Kessel">E1_Projektdaten!$D$29</definedName>
    <definedName name="Eing_Kosten_Bau">E1_Projektdaten!$D$48</definedName>
    <definedName name="Eing_Kosten_Grundstück">E1_Projektdaten!$D$39</definedName>
    <definedName name="Eing_Kosten_Hausstationen">E1_Projektdaten!$D$54</definedName>
    <definedName name="Eing_Kosten_Planung_QM">E1_Projektdaten!$D$55</definedName>
    <definedName name="Eing_Kosten_Wärmeerzeugung">E1_Projektdaten!$D$51</definedName>
    <definedName name="Eing_Kosten_Wärmenetz">E1_Projektdaten!$D$52</definedName>
    <definedName name="Eing_Kredit_1">E1_Projektdaten!$D$63</definedName>
    <definedName name="Eing_Kredit_2">E1_Projektdaten!$D$69</definedName>
    <definedName name="Eing_Kreditlaufzeit_1">E1_Projektdaten!$D$64</definedName>
    <definedName name="Eing_Kreditlaufzeit_2">E1_Projektdaten!$D$70</definedName>
    <definedName name="Eing_Kreditstartjahr_1">E1_Projektdaten!$D$65</definedName>
    <definedName name="Eing_Kreditstartjahr_2">E1_Projektdaten!$D$71</definedName>
    <definedName name="Eing_Kreditzinssatz_1">E1_Projektdaten!$D$66</definedName>
    <definedName name="Eing_Kreditzinssatz_2">E1_Projektdaten!$D$72</definedName>
    <definedName name="Eing_Leistungspreis1">E2_Wärmepreis!$G$15</definedName>
    <definedName name="Eing_Leistungspreis2">E2_Wärmepreis!$G$21</definedName>
    <definedName name="Eing_Leistungspreis3">E2_Wärmepreis!$G$27</definedName>
    <definedName name="Eing_Leistungspreis4">E2_Wärmepreis!$G$33</definedName>
    <definedName name="Eing_Netzverluste">E1_Projektdaten!$D$18</definedName>
    <definedName name="Eing_Nominalzins">E1_Projektdaten!$D$42</definedName>
    <definedName name="Eing_Realzins">E1_Projektdaten!$D$43</definedName>
    <definedName name="Eing_Rohstoffpreis_Biomasse">E1_Projektdaten!$D$25</definedName>
    <definedName name="Eing_Rohstoffpreis_fossil">E1_Projektdaten!$D$28</definedName>
    <definedName name="Eing_Sonstige_Kosten">E1_Projektdaten!$D$40</definedName>
    <definedName name="Eing_Spez_Stromverbrauch">E1_Projektdaten!$D$31</definedName>
    <definedName name="Eing_Strompreis">E1_Projektdaten!$D$32</definedName>
    <definedName name="Eing_Unterhaltskosten">E1_Projektdaten!$D$37</definedName>
    <definedName name="Eing_verkaufteWM">E1_Projektdaten!$D$17</definedName>
    <definedName name="Eing_Vertragslaufzeit1">E2_Wärmepreis!$G$17</definedName>
    <definedName name="Eing_Vertragslaufzeit2">E2_Wärmepreis!$G$23</definedName>
    <definedName name="Eing_Vertragslaufzeit3">E2_Wärmepreis!$G$29</definedName>
    <definedName name="Eing_Vertragslaufzeit4">E2_Wärmepreis!$G$35</definedName>
    <definedName name="Eingesetzte_Brennstoffwärme_Biomasse">E1_Projektdaten!$D$87</definedName>
    <definedName name="Eingesetzte_Brennstoffwärme_fossil">E1_Projektdaten!$D$88</definedName>
    <definedName name="Einmaliger_Förderbeitrag_1">E1_Projektdaten!$D$76</definedName>
    <definedName name="Einmaliger_Förderbeitrag_2">E1_Projektdaten!$D$78</definedName>
    <definedName name="Erg_Wärmepreis">A1_Ergebnisse!$Q$11</definedName>
    <definedName name="Ergebnisblatt_Projekttitel">B1_Berechnungen!$D$6</definedName>
    <definedName name="Erstauszahlung_jährlFörderung">E1_Projektdaten!$D$83</definedName>
    <definedName name="Erzeugte_Wärmemenge">E1_Projektdaten!$D$86</definedName>
    <definedName name="Förderlaufzeit">E1_Projektdaten!$D$82</definedName>
    <definedName name="Förderungsauszahlung_1">E1_Projektdaten!$D$77</definedName>
    <definedName name="Förderungsauszahlung_2">E1_Projektdaten!$D$79</definedName>
    <definedName name="Gesamte_Investitionskosten">E1_Projektdaten!$D$94</definedName>
    <definedName name="Gesamtinvestition">E1_Projektdaten!$D$56</definedName>
    <definedName name="Gewbl_Wärmemenge">E2_Wärmepreis!$G$20</definedName>
    <definedName name="Grundpreis">E2_Wärmepreis!$G$15</definedName>
    <definedName name="I1_100">I1_Erläuterung!$A$7</definedName>
    <definedName name="I1_101">I1_Erläuterung!$A$8</definedName>
    <definedName name="I1_102">I1_Erläuterung!$A$9</definedName>
    <definedName name="I1_103">I1_Erläuterung!$A$10</definedName>
    <definedName name="I1_104">I1_Erläuterung!$A$11</definedName>
    <definedName name="I1_105">I1_Erläuterung!$A$12</definedName>
    <definedName name="I1_106">I1_Erläuterung!$A$13</definedName>
    <definedName name="I1_107">I1_Erläuterung!$A$14</definedName>
    <definedName name="I1_108">I1_Erläuterung!$A$15</definedName>
    <definedName name="I1_110">I1_Erläuterung!$A$16</definedName>
    <definedName name="I1_111">I1_Erläuterung!$A$17</definedName>
    <definedName name="I1_112">I1_Erläuterung!$A$18</definedName>
    <definedName name="i1_113">I1_Erläuterung!$A$19</definedName>
    <definedName name="I1_114">I1_Erläuterung!$A$20</definedName>
    <definedName name="I1_115">I1_Erläuterung!$A$21</definedName>
    <definedName name="I1_120">I1_Erläuterung!$A$22</definedName>
    <definedName name="I1_121">I1_Erläuterung!$A$23</definedName>
    <definedName name="I1_122">I1_Erläuterung!$A$24</definedName>
    <definedName name="I1_123">I1_Erläuterung!$A$25</definedName>
    <definedName name="I1_124">I1_Erläuterung!$A$26</definedName>
    <definedName name="I1_125">I1_Erläuterung!$A$27</definedName>
    <definedName name="I1_126">I1_Erläuterung!$A$28</definedName>
    <definedName name="I1_127">I1_Erläuterung!$A$29</definedName>
    <definedName name="I1_130">I1_Erläuterung!$A$30</definedName>
    <definedName name="I1_131">I1_Erläuterung!$A$31</definedName>
    <definedName name="I1_132">I1_Erläuterung!$A$32</definedName>
    <definedName name="I1_135">I1_Erläuterung!$A$33</definedName>
    <definedName name="I1_136">I1_Erläuterung!$A$34</definedName>
    <definedName name="I1_137">I1_Erläuterung!$A$35</definedName>
    <definedName name="I1_138">I1_Erläuterung!$A$36</definedName>
    <definedName name="I1_139">I1_Erläuterung!$A$37</definedName>
    <definedName name="I1_140">I1_Erläuterung!$A$38</definedName>
    <definedName name="I1_141">I1_Erläuterung!$A$39</definedName>
    <definedName name="I1_142">I1_Erläuterung!$A$40</definedName>
    <definedName name="I1_143">I1_Erläuterung!$A$41</definedName>
    <definedName name="I1_150">I1_Erläuterung!$A$42</definedName>
    <definedName name="I1_151">I1_Erläuterung!$A$43</definedName>
    <definedName name="I1_152">I1_Erläuterung!$A$44</definedName>
    <definedName name="I1_153">I1_Erläuterung!$A$45</definedName>
    <definedName name="I1_154">I1_Erläuterung!$A$46</definedName>
    <definedName name="I1_155">I1_Erläuterung!$A$47</definedName>
    <definedName name="I1_156">I1_Erläuterung!$A$48</definedName>
    <definedName name="I1_157">I1_Erläuterung!$A$49</definedName>
    <definedName name="I1_158">I1_Erläuterung!$A$50</definedName>
    <definedName name="I1_159">I1_Erläuterung!$A$51</definedName>
    <definedName name="I1_160">I1_Erläuterung!$A$52</definedName>
    <definedName name="I1_161">I1_Erläuterung!$A$53</definedName>
    <definedName name="I1_162">I1_Erläuterung!$A$54</definedName>
    <definedName name="I1_163">I1_Erläuterung!$A$55</definedName>
    <definedName name="I1_165">I1_Erläuterung!$A$56</definedName>
    <definedName name="I1_166">I1_Erläuterung!$A$57</definedName>
    <definedName name="I1_167">I1_Erläuterung!$A$58</definedName>
    <definedName name="I1_168">I1_Erläuterung!$A$59</definedName>
    <definedName name="I1_169">I1_Erläuterung!$A$60</definedName>
    <definedName name="I1_170">I1_Erläuterung!$A$61</definedName>
    <definedName name="I1_171">I1_Erläuterung!$A$62</definedName>
    <definedName name="I1_172">I1_Erläuterung!$A$63</definedName>
    <definedName name="I1_173">I1_Erläuterung!$A$64</definedName>
    <definedName name="I1_174">I1_Erläuterung!$A$65</definedName>
    <definedName name="I1_175">I1_Erläuterung!$A$66</definedName>
    <definedName name="I1_176">I1_Erläuterung!$A$67</definedName>
    <definedName name="I1_177">I1_Erläuterung!$A$68</definedName>
    <definedName name="I1_178">I1_Erläuterung!$A$69</definedName>
    <definedName name="I1_179">I1_Erläuterung!$A$70</definedName>
    <definedName name="I1_180">I1_Erläuterung!$A$71</definedName>
    <definedName name="I1_181">I1_Erläuterung!$A$72</definedName>
    <definedName name="I1_182">I1_Erläuterung!$A$73</definedName>
    <definedName name="I1_183">I1_Erläuterung!$A$74</definedName>
    <definedName name="I1_184">I1_Erläuterung!$A$75</definedName>
    <definedName name="I1_185">I1_Erläuterung!$A$76</definedName>
    <definedName name="I1_186">I1_Erläuterung!$A$77</definedName>
    <definedName name="I1_187">I1_Erläuterung!$A$78</definedName>
    <definedName name="I1_190">I1_Erläuterung!$A$79</definedName>
    <definedName name="I1_191">I1_Erläuterung!$A$80</definedName>
    <definedName name="I1_192">I1_Erläuterung!$A$81</definedName>
    <definedName name="I1_193">I1_Erläuterung!$A$82</definedName>
    <definedName name="I1_194">I1_Erläuterung!$A$83</definedName>
    <definedName name="I1_195">I1_Erläuterung!$A$84</definedName>
    <definedName name="I1_196">I1_Erläuterung!$A$85</definedName>
    <definedName name="I1_197">I1_Erläuterung!$A$86</definedName>
    <definedName name="I1_198">I1_Erläuterung!$A$87</definedName>
    <definedName name="I1_199">I1_Erläuterung!$A$88</definedName>
    <definedName name="I1_200">I1_Erläuterung!$A$90</definedName>
    <definedName name="I1_206">I1_Erläuterung!$A$91</definedName>
    <definedName name="I1_207">I1_Erläuterung!$A$92</definedName>
    <definedName name="I1_210">I1_Erläuterung!$A$93</definedName>
    <definedName name="I1_211">I1_Erläuterung!$A$94</definedName>
    <definedName name="I1_212">I1_Erläuterung!$A$95</definedName>
    <definedName name="I1_213">I1_Erläuterung!$A$96</definedName>
    <definedName name="I1_214">I1_Erläuterung!$A$97</definedName>
    <definedName name="I1_221">I1_Erläuterung!$A$98</definedName>
    <definedName name="I1_222">I1_Erläuterung!$A$98</definedName>
    <definedName name="I1_223">I1_Erläuterung!$A$98</definedName>
    <definedName name="I1_231">I1_Erläuterung!$A$99</definedName>
    <definedName name="I1_232">I1_Erläuterung!$A$99</definedName>
    <definedName name="I1_233">I1_Erläuterung!$A$99</definedName>
    <definedName name="I1_241">I1_Erläuterung!$A$100</definedName>
    <definedName name="I1_242">I1_Erläuterung!$A$100</definedName>
    <definedName name="I1_243">I1_Erläuterung!$A$100</definedName>
    <definedName name="I1_300">I1_Erläuterung!$A$102</definedName>
    <definedName name="I1_310">I1_Erläuterung!$A$103</definedName>
    <definedName name="I1_311">I1_Erläuterung!$A$104</definedName>
    <definedName name="I1_312">I1_Erläuterung!$A$105</definedName>
    <definedName name="I1_320">I1_Erläuterung!$A$106</definedName>
    <definedName name="I1_321">I1_Erläuterung!$A$107</definedName>
    <definedName name="I1_322">I1_Erläuterung!$A$108</definedName>
    <definedName name="I1_323">I1_Erläuterung!$A$109</definedName>
    <definedName name="I1_324">I1_Erläuterung!$A$110</definedName>
    <definedName name="I1_325">I1_Erläuterung!$A$111</definedName>
    <definedName name="I1_330">I1_Erläuterung!$A$112</definedName>
    <definedName name="I1_331">I1_Erläuterung!$A$113</definedName>
    <definedName name="I1_332">I1_Erläuterung!$A$114</definedName>
    <definedName name="I1_333">I1_Erläuterung!$A$115</definedName>
    <definedName name="I1_334">I1_Erläuterung!$A$116</definedName>
    <definedName name="I1_335">I1_Erläuterung!$A$117</definedName>
    <definedName name="I1_500">I1_Erläuterung!$A$119</definedName>
    <definedName name="I1_501">I1_Erläuterung!$A$120</definedName>
    <definedName name="I1_505">I1_Erläuterung!$A$121</definedName>
    <definedName name="I1_510">I1_Erläuterung!$A$122</definedName>
    <definedName name="I1_511">I1_Erläuterung!$A$123</definedName>
    <definedName name="I1_512">I1_Erläuterung!$A$124</definedName>
    <definedName name="I1_513">I1_Erläuterung!$A$125</definedName>
    <definedName name="I1_514">I1_Erläuterung!$A$126</definedName>
    <definedName name="I1_515">I1_Erläuterung!$A$127</definedName>
    <definedName name="I1_516">I1_Erläuterung!$A$128</definedName>
    <definedName name="I1_517">I1_Erläuterung!$A$129</definedName>
    <definedName name="I1_518">I1_Erläuterung!$A$130</definedName>
    <definedName name="I1_519">I1_Erläuterung!$A$131</definedName>
    <definedName name="I1_520">I1_Erläuterung!$A$132</definedName>
    <definedName name="I1_525">I1_Erläuterung!#REF!</definedName>
    <definedName name="I1_526">I1_Erläuterung!#REF!</definedName>
    <definedName name="I1_530">I1_Erläuterung!$A$133</definedName>
    <definedName name="I1_531">I1_Erläuterung!$A$134</definedName>
    <definedName name="I1_550">I1_Erläuterung!$A$135</definedName>
    <definedName name="I1_551">I1_Erläuterung!$A$136</definedName>
    <definedName name="I1_552">I1_Erläuterung!$A$137</definedName>
    <definedName name="I1_553">I1_Erläuterung!$A$138</definedName>
    <definedName name="I1_554">I1_Erläuterung!$A$139</definedName>
    <definedName name="I1_555">I1_Erläuterung!$A$140</definedName>
    <definedName name="I1_556">I1_Erläuterung!$A$141</definedName>
    <definedName name="I1_557">I1_Erläuterung!$A$142</definedName>
    <definedName name="I1_558">I1_Erläuterung!$A$143</definedName>
    <definedName name="I1_559">I1_Erläuterung!$A$144</definedName>
    <definedName name="I1_560">I1_Erläuterung!$A$145</definedName>
    <definedName name="I1_561">I1_Erläuterung!$A$146</definedName>
    <definedName name="I1_562">I1_Erläuterung!$A$147</definedName>
    <definedName name="I1_563">I1_Erläuterung!$A$148</definedName>
    <definedName name="I1_564">I1_Erläuterung!$A$149</definedName>
    <definedName name="I1_571">I1_Erläuterung!$A$150</definedName>
    <definedName name="I1_572">I1_Erläuterung!$A$151</definedName>
    <definedName name="I1_573">I1_Erläuterung!$A$152</definedName>
    <definedName name="I1_574">I1_Erläuterung!$A$153</definedName>
    <definedName name="I1_575">I1_Erläuterung!$A$154</definedName>
    <definedName name="I1_576">I1_Erläuterung!$A$155</definedName>
    <definedName name="I1_577">I1_Erläuterung!$A$156</definedName>
    <definedName name="I1_578">I1_Erläuterung!$A$157</definedName>
    <definedName name="I1_580">I1_Erläuterung!$A$158</definedName>
    <definedName name="I1_581">I1_Erläuterung!$A$159</definedName>
    <definedName name="I1_582">I1_Erläuterung!$A$160</definedName>
    <definedName name="I1_583">I1_Erläuterung!$A$161</definedName>
    <definedName name="I1_584">I1_Erläuterung!$A$162</definedName>
    <definedName name="I1_586">I1_Erläuterung!$A$163</definedName>
    <definedName name="I1_587">I1_Erläuterung!$A$164</definedName>
    <definedName name="I1_588">I1_Erläuterung!$A$165</definedName>
    <definedName name="I1_589">I1_Erläuterung!$A$166</definedName>
    <definedName name="I1_590">I1_Erläuterung!$A$167</definedName>
    <definedName name="I1_591">I1_Erläuterung!$A$168</definedName>
    <definedName name="I1_600">I1_Erläuterung!$A$170</definedName>
    <definedName name="I1_610">I1_Erläuterung!$A$171</definedName>
    <definedName name="I1_612">I1_Erläuterung!$A$172</definedName>
    <definedName name="I1_613">I1_Erläuterung!$A$173</definedName>
    <definedName name="I1_615">I1_Erläuterung!$A$174</definedName>
    <definedName name="I1_620">I1_Erläuterung!$A$175</definedName>
    <definedName name="I1_621">I1_Erläuterung!$A$176</definedName>
    <definedName name="I1_622">I1_Erläuterung!$A$177</definedName>
    <definedName name="I1_623">I1_Erläuterung!$A$178</definedName>
    <definedName name="I1_624">I1_Erläuterung!$A$179</definedName>
    <definedName name="I1_625">I1_Erläuterung!$A$180</definedName>
    <definedName name="I1_626">I1_Erläuterung!$A$181</definedName>
    <definedName name="I1_627">I1_Erläuterung!$A$182</definedName>
    <definedName name="I1_650">I1_Erläuterung!$A$183</definedName>
    <definedName name="I1_651">I1_Erläuterung!$A$184</definedName>
    <definedName name="I1_652">I1_Erläuterung!$A$185</definedName>
    <definedName name="I1_653">I1_Erläuterung!$A$186</definedName>
    <definedName name="I1_660">I1_Erläuterung!$A$187</definedName>
    <definedName name="I1_661">I1_Erläuterung!$A$188</definedName>
    <definedName name="I1_690">I1_Erläuterung!$A$189</definedName>
    <definedName name="I1_900">I1_Erläuterung!$A$191</definedName>
    <definedName name="I1_910">I1_Erläuterung!$A$192</definedName>
    <definedName name="I1_911">I1_Erläuterung!$A$193</definedName>
    <definedName name="I1_912">I1_Erläuterung!$A$194</definedName>
    <definedName name="I1_920">I1_Erläuterung!$A$195</definedName>
    <definedName name="I1_921">I1_Erläuterung!$A$196</definedName>
    <definedName name="I1_922">I1_Erläuterung!$A$197</definedName>
    <definedName name="I1_923">I1_Erläuterung!$A$198</definedName>
    <definedName name="I1_924">I1_Erläuterung!$A$199</definedName>
    <definedName name="I1_925">I1_Erläuterung!$A$200</definedName>
    <definedName name="I1_926">I1_Erläuterung!$A$201</definedName>
    <definedName name="I1_927">I1_Erläuterung!$A$202</definedName>
    <definedName name="I1_928">I1_Erläuterung!$A$203</definedName>
    <definedName name="I1_929">I1_Erläuterung!$A$204</definedName>
    <definedName name="I1_930">I1_Erläuterung!$A$205</definedName>
    <definedName name="jährlicher_Förderbeitrag">E1_Projektdaten!$D$81</definedName>
    <definedName name="jährlicher_Stromverbrauch">E1_Projektdaten!$D$89</definedName>
    <definedName name="järhliche_Stromkosten">E1_Projektdaten!$D$92</definedName>
    <definedName name="maxEigenkapital">B1_Berechnungen!$F$29</definedName>
    <definedName name="Realzins">E1_Projektdaten!$D$43</definedName>
    <definedName name="Stromverbrauch">E1_Projektdaten!$C$92</definedName>
    <definedName name="Wärmepreis">A1_Ergebnisse!$Q$11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5" i="9" l="1"/>
  <c r="D35" i="9"/>
  <c r="R42" i="9"/>
  <c r="Q42" i="9"/>
  <c r="D43" i="9"/>
  <c r="Q43" i="9" s="1"/>
  <c r="D104" i="9" l="1"/>
  <c r="D98" i="9"/>
  <c r="D99" i="9"/>
  <c r="T42" i="9"/>
  <c r="R43" i="9"/>
  <c r="T43" i="9" s="1"/>
  <c r="D22" i="9"/>
  <c r="D17" i="9"/>
  <c r="G32" i="6"/>
  <c r="G26" i="6"/>
  <c r="G20" i="6"/>
  <c r="G14" i="6"/>
  <c r="F104" i="9" l="1"/>
  <c r="F98" i="9"/>
  <c r="F99" i="9"/>
  <c r="G16" i="8"/>
  <c r="S19" i="9"/>
  <c r="R19" i="9"/>
  <c r="Q19" i="9"/>
  <c r="T19" i="9" l="1"/>
  <c r="R55" i="9"/>
  <c r="Q55" i="9"/>
  <c r="R54" i="9"/>
  <c r="Q54" i="9"/>
  <c r="R53" i="9"/>
  <c r="Q53" i="9"/>
  <c r="R52" i="9"/>
  <c r="Q52" i="9"/>
  <c r="R51" i="9"/>
  <c r="Q51" i="9"/>
  <c r="R50" i="9"/>
  <c r="R49" i="9"/>
  <c r="Q49" i="9"/>
  <c r="R48" i="9"/>
  <c r="Q48" i="9"/>
  <c r="T48" i="9" s="1"/>
  <c r="T51" i="9" l="1"/>
  <c r="T49" i="9"/>
  <c r="T52" i="9"/>
  <c r="T54" i="9"/>
  <c r="T53" i="9"/>
  <c r="D58" i="9"/>
  <c r="D29" i="16" l="1"/>
  <c r="D28" i="16"/>
  <c r="I55" i="9" l="1"/>
  <c r="F26" i="8" l="1"/>
  <c r="GA24" i="15" l="1"/>
  <c r="FZ24" i="15"/>
  <c r="FY24" i="15"/>
  <c r="FX24" i="15"/>
  <c r="FW24" i="15"/>
  <c r="FV24" i="15"/>
  <c r="FU24" i="15"/>
  <c r="FT24" i="15"/>
  <c r="FS24" i="15"/>
  <c r="FR24" i="15"/>
  <c r="FQ24" i="15"/>
  <c r="FP24" i="15"/>
  <c r="FO24" i="15"/>
  <c r="FN24" i="15"/>
  <c r="FM24" i="15"/>
  <c r="FL24" i="15"/>
  <c r="FK24" i="15"/>
  <c r="FJ24" i="15"/>
  <c r="FI24" i="15"/>
  <c r="FH24" i="15"/>
  <c r="FG24" i="15"/>
  <c r="FF24" i="15"/>
  <c r="FE24" i="15"/>
  <c r="FD24" i="15"/>
  <c r="FC24" i="15"/>
  <c r="FB24" i="15"/>
  <c r="FA24" i="15"/>
  <c r="EZ24" i="15"/>
  <c r="EY24" i="15"/>
  <c r="EX24" i="15"/>
  <c r="EW24" i="15"/>
  <c r="EV24" i="15"/>
  <c r="EU24" i="15"/>
  <c r="ET24" i="15"/>
  <c r="ES24" i="15"/>
  <c r="ER24" i="15"/>
  <c r="EQ24" i="15"/>
  <c r="EP24" i="15"/>
  <c r="EO24" i="15"/>
  <c r="EN24" i="15"/>
  <c r="EM24" i="15"/>
  <c r="EL24" i="15"/>
  <c r="EK24" i="15"/>
  <c r="EJ24" i="15"/>
  <c r="EI24" i="15"/>
  <c r="EH24" i="15"/>
  <c r="EG24" i="15"/>
  <c r="EF24" i="15"/>
  <c r="EE24" i="15"/>
  <c r="ED24" i="15"/>
  <c r="EC24" i="15"/>
  <c r="EB24" i="15"/>
  <c r="EA24" i="15"/>
  <c r="DZ24" i="15"/>
  <c r="DY24" i="15"/>
  <c r="DX24" i="15"/>
  <c r="DW24" i="15"/>
  <c r="DV24" i="15"/>
  <c r="DU24" i="15"/>
  <c r="DT24" i="15"/>
  <c r="DS24" i="15"/>
  <c r="DR24" i="15"/>
  <c r="DQ24" i="15"/>
  <c r="DP24" i="15"/>
  <c r="DO24" i="15"/>
  <c r="DN24" i="15"/>
  <c r="DM24" i="15"/>
  <c r="DL24" i="15"/>
  <c r="DK24" i="15"/>
  <c r="DJ24" i="15"/>
  <c r="DI24" i="15"/>
  <c r="DH24" i="15"/>
  <c r="DG24" i="15"/>
  <c r="DF24" i="15"/>
  <c r="DE24" i="15"/>
  <c r="DD24" i="15"/>
  <c r="DC24" i="15"/>
  <c r="DB24" i="15"/>
  <c r="DA24" i="15"/>
  <c r="CZ24" i="15"/>
  <c r="CY24" i="15"/>
  <c r="CX24" i="15"/>
  <c r="CW24" i="15"/>
  <c r="CV24" i="15"/>
  <c r="CU24" i="15"/>
  <c r="CT24" i="15"/>
  <c r="CS24" i="15"/>
  <c r="CR24" i="15"/>
  <c r="CQ24" i="15"/>
  <c r="CP24" i="15"/>
  <c r="CO24" i="15"/>
  <c r="CN24" i="15"/>
  <c r="CM24" i="15"/>
  <c r="CL24" i="15"/>
  <c r="CK24" i="15"/>
  <c r="CJ24" i="15"/>
  <c r="CI24" i="15"/>
  <c r="CH24" i="15"/>
  <c r="CG24" i="15"/>
  <c r="CF24" i="15"/>
  <c r="CE24" i="15"/>
  <c r="CD24" i="15"/>
  <c r="CC24" i="15"/>
  <c r="CB24" i="15"/>
  <c r="CA24" i="15"/>
  <c r="BZ24" i="15"/>
  <c r="BY24" i="15"/>
  <c r="BX24" i="15"/>
  <c r="BW24" i="15"/>
  <c r="BV24" i="15"/>
  <c r="BU24" i="15"/>
  <c r="BT24" i="15"/>
  <c r="BS24" i="15"/>
  <c r="BR24" i="15"/>
  <c r="BQ24" i="15"/>
  <c r="BP24" i="15"/>
  <c r="BO24" i="15"/>
  <c r="BN24" i="15"/>
  <c r="BM24" i="15"/>
  <c r="BL24" i="15"/>
  <c r="BK24" i="15"/>
  <c r="BJ24" i="15"/>
  <c r="BI24" i="15"/>
  <c r="BH24" i="15"/>
  <c r="BG24" i="15"/>
  <c r="BF24" i="15"/>
  <c r="BE24" i="15"/>
  <c r="BD24" i="15"/>
  <c r="BC24" i="15"/>
  <c r="BB24" i="15"/>
  <c r="BA24" i="15"/>
  <c r="AZ24" i="15"/>
  <c r="AY24" i="15"/>
  <c r="AX24" i="15"/>
  <c r="AW24" i="15"/>
  <c r="AV24" i="15"/>
  <c r="AU24" i="15"/>
  <c r="AT24" i="15"/>
  <c r="AS24" i="15"/>
  <c r="AR24" i="15"/>
  <c r="AQ24" i="15"/>
  <c r="AP24" i="15"/>
  <c r="AO24" i="15"/>
  <c r="AN24" i="15"/>
  <c r="AM24" i="15"/>
  <c r="AL24" i="15"/>
  <c r="AK24" i="15"/>
  <c r="AJ24" i="15"/>
  <c r="AI24" i="15"/>
  <c r="AH24" i="15"/>
  <c r="AG24" i="15"/>
  <c r="AF24" i="15"/>
  <c r="AE24" i="15"/>
  <c r="AD24" i="15"/>
  <c r="AC24" i="15"/>
  <c r="AB24" i="15"/>
  <c r="AA24" i="15"/>
  <c r="Z24" i="15"/>
  <c r="Y24" i="15"/>
  <c r="X24" i="15"/>
  <c r="W24" i="15"/>
  <c r="V24" i="15"/>
  <c r="U24" i="15"/>
  <c r="T24" i="15"/>
  <c r="S24" i="15"/>
  <c r="R24" i="15"/>
  <c r="Q24" i="15"/>
  <c r="P24" i="15"/>
  <c r="O24" i="15"/>
  <c r="N24" i="15"/>
  <c r="M24" i="15"/>
  <c r="L24" i="15"/>
  <c r="K24" i="15"/>
  <c r="J24" i="15"/>
  <c r="E38" i="15"/>
  <c r="E37" i="15"/>
  <c r="E36" i="15"/>
  <c r="E35" i="15"/>
  <c r="Q82" i="9" l="1"/>
  <c r="Q81" i="9"/>
  <c r="R82" i="9"/>
  <c r="Q78" i="9"/>
  <c r="R70" i="9"/>
  <c r="R72" i="9"/>
  <c r="Q72" i="9"/>
  <c r="Q70" i="9"/>
  <c r="R64" i="9"/>
  <c r="R66" i="9"/>
  <c r="Q66" i="9"/>
  <c r="Q64" i="9"/>
  <c r="K3" i="16" l="1"/>
  <c r="K22" i="16"/>
  <c r="Q63" i="9" l="1"/>
  <c r="Q69" i="9"/>
  <c r="O71" i="9" l="1"/>
  <c r="Q71" i="9" s="1"/>
  <c r="B38" i="15"/>
  <c r="B37" i="15"/>
  <c r="B36" i="15"/>
  <c r="B35" i="15"/>
  <c r="G24" i="15" l="1"/>
  <c r="F24" i="15"/>
  <c r="H24" i="15"/>
  <c r="I24" i="15"/>
  <c r="E24" i="15"/>
  <c r="D24" i="15"/>
  <c r="P71" i="9"/>
  <c r="T72" i="9"/>
  <c r="T70" i="9"/>
  <c r="R71" i="9" l="1"/>
  <c r="T71" i="9" s="1"/>
  <c r="GA29" i="15"/>
  <c r="FZ29" i="15"/>
  <c r="FY29" i="15"/>
  <c r="FX29" i="15"/>
  <c r="FW29" i="15"/>
  <c r="FV29" i="15"/>
  <c r="FU29" i="15"/>
  <c r="FT29" i="15"/>
  <c r="FS29" i="15"/>
  <c r="FR29" i="15"/>
  <c r="FQ29" i="15"/>
  <c r="FP29" i="15"/>
  <c r="FO29" i="15"/>
  <c r="FN29" i="15"/>
  <c r="FM29" i="15"/>
  <c r="FL29" i="15"/>
  <c r="FK29" i="15"/>
  <c r="FJ29" i="15"/>
  <c r="FI29" i="15"/>
  <c r="FH29" i="15"/>
  <c r="FG29" i="15"/>
  <c r="FF29" i="15"/>
  <c r="FE29" i="15"/>
  <c r="FD29" i="15"/>
  <c r="FC29" i="15"/>
  <c r="FB29" i="15"/>
  <c r="FA29" i="15"/>
  <c r="EZ29" i="15"/>
  <c r="EY29" i="15"/>
  <c r="EX29" i="15"/>
  <c r="EW29" i="15"/>
  <c r="EV29" i="15"/>
  <c r="EU29" i="15"/>
  <c r="ET29" i="15"/>
  <c r="ES29" i="15"/>
  <c r="ER29" i="15"/>
  <c r="EQ29" i="15"/>
  <c r="EP29" i="15"/>
  <c r="EO29" i="15"/>
  <c r="EN29" i="15"/>
  <c r="EM29" i="15"/>
  <c r="EL29" i="15"/>
  <c r="EK29" i="15"/>
  <c r="EJ29" i="15"/>
  <c r="EI29" i="15"/>
  <c r="EH29" i="15"/>
  <c r="EG29" i="15"/>
  <c r="EF29" i="15"/>
  <c r="EE29" i="15"/>
  <c r="ED29" i="15"/>
  <c r="EC29" i="15"/>
  <c r="EB29" i="15"/>
  <c r="EA29" i="15"/>
  <c r="DZ29" i="15"/>
  <c r="DY29" i="15"/>
  <c r="DX29" i="15"/>
  <c r="DW29" i="15"/>
  <c r="DV29" i="15"/>
  <c r="DU29" i="15"/>
  <c r="DT29" i="15"/>
  <c r="DS29" i="15"/>
  <c r="DR29" i="15"/>
  <c r="DQ29" i="15"/>
  <c r="DP29" i="15"/>
  <c r="DO29" i="15"/>
  <c r="DN29" i="15"/>
  <c r="DM29" i="15"/>
  <c r="DL29" i="15"/>
  <c r="DK29" i="15"/>
  <c r="DJ29" i="15"/>
  <c r="DI29" i="15"/>
  <c r="DH29" i="15"/>
  <c r="DG29" i="15"/>
  <c r="DF29" i="15"/>
  <c r="DE29" i="15"/>
  <c r="DD29" i="15"/>
  <c r="DC29" i="15"/>
  <c r="DB29" i="15"/>
  <c r="DA29" i="15"/>
  <c r="CZ29" i="15"/>
  <c r="CY29" i="15"/>
  <c r="CX29" i="15"/>
  <c r="CW29" i="15"/>
  <c r="CV29" i="15"/>
  <c r="CU29" i="15"/>
  <c r="CT29" i="15"/>
  <c r="CS29" i="15"/>
  <c r="CR29" i="15"/>
  <c r="CQ29" i="15"/>
  <c r="CP29" i="15"/>
  <c r="CO29" i="15"/>
  <c r="CN29" i="15"/>
  <c r="CM29" i="15"/>
  <c r="CL29" i="15"/>
  <c r="CK29" i="15"/>
  <c r="CJ29" i="15"/>
  <c r="CI29" i="15"/>
  <c r="CH29" i="15"/>
  <c r="CG29" i="15"/>
  <c r="CF29" i="15"/>
  <c r="CE29" i="15"/>
  <c r="CD29" i="15"/>
  <c r="CC29" i="15"/>
  <c r="CB29" i="15"/>
  <c r="CA29" i="15"/>
  <c r="BZ29" i="15"/>
  <c r="BY29" i="15"/>
  <c r="BX29" i="15"/>
  <c r="BW29" i="15"/>
  <c r="BV29" i="15"/>
  <c r="BU29" i="15"/>
  <c r="BT29" i="15"/>
  <c r="BS29" i="15"/>
  <c r="BR29" i="15"/>
  <c r="BQ29" i="15"/>
  <c r="BP29" i="15"/>
  <c r="BO29" i="15"/>
  <c r="BN29" i="15"/>
  <c r="BM29" i="15"/>
  <c r="BL29" i="15"/>
  <c r="BK29" i="15"/>
  <c r="BJ29" i="15"/>
  <c r="BI29" i="15"/>
  <c r="BH29" i="15"/>
  <c r="BG29" i="15"/>
  <c r="BF29" i="15"/>
  <c r="BE29" i="15"/>
  <c r="BD29" i="15"/>
  <c r="BC29" i="15"/>
  <c r="BB29" i="15"/>
  <c r="BA29" i="15"/>
  <c r="AZ29" i="15"/>
  <c r="AY29" i="15"/>
  <c r="AX29" i="15"/>
  <c r="AW29" i="15"/>
  <c r="AV29" i="15"/>
  <c r="AU29" i="15"/>
  <c r="AT29" i="15"/>
  <c r="AS29" i="15"/>
  <c r="AR29" i="15"/>
  <c r="AQ29" i="15"/>
  <c r="AP29" i="15"/>
  <c r="AO29" i="15"/>
  <c r="AN29" i="15"/>
  <c r="AM29" i="15"/>
  <c r="AL29" i="15"/>
  <c r="AK29" i="15"/>
  <c r="AJ29" i="15"/>
  <c r="AI29" i="15"/>
  <c r="AH29" i="15"/>
  <c r="AG29" i="15"/>
  <c r="AF29" i="15"/>
  <c r="AE29" i="15"/>
  <c r="AD29" i="15"/>
  <c r="AC29" i="15"/>
  <c r="AB29" i="15"/>
  <c r="AA29" i="15"/>
  <c r="Z29" i="15"/>
  <c r="Y29" i="15"/>
  <c r="X29" i="15"/>
  <c r="W29" i="15"/>
  <c r="V29" i="15"/>
  <c r="U29" i="15"/>
  <c r="T29" i="15"/>
  <c r="S29" i="15"/>
  <c r="R29" i="15"/>
  <c r="Q29" i="15"/>
  <c r="P29" i="15"/>
  <c r="O29" i="15"/>
  <c r="N29" i="15"/>
  <c r="M29" i="15"/>
  <c r="L29" i="15"/>
  <c r="K29" i="15"/>
  <c r="GA28" i="15"/>
  <c r="FZ28" i="15"/>
  <c r="FY28" i="15"/>
  <c r="FX28" i="15"/>
  <c r="FW28" i="15"/>
  <c r="FV28" i="15"/>
  <c r="FU28" i="15"/>
  <c r="FT28" i="15"/>
  <c r="FS28" i="15"/>
  <c r="FR28" i="15"/>
  <c r="FQ28" i="15"/>
  <c r="FP28" i="15"/>
  <c r="FO28" i="15"/>
  <c r="FN28" i="15"/>
  <c r="FM28" i="15"/>
  <c r="FL28" i="15"/>
  <c r="FK28" i="15"/>
  <c r="FJ28" i="15"/>
  <c r="FI28" i="15"/>
  <c r="FH28" i="15"/>
  <c r="FG28" i="15"/>
  <c r="FF28" i="15"/>
  <c r="FE28" i="15"/>
  <c r="FD28" i="15"/>
  <c r="FC28" i="15"/>
  <c r="FB28" i="15"/>
  <c r="FA28" i="15"/>
  <c r="EZ28" i="15"/>
  <c r="EY28" i="15"/>
  <c r="EX28" i="15"/>
  <c r="EW28" i="15"/>
  <c r="EV28" i="15"/>
  <c r="EU28" i="15"/>
  <c r="ET28" i="15"/>
  <c r="ES28" i="15"/>
  <c r="ER28" i="15"/>
  <c r="EQ28" i="15"/>
  <c r="EP28" i="15"/>
  <c r="EO28" i="15"/>
  <c r="EN28" i="15"/>
  <c r="EM28" i="15"/>
  <c r="EL28" i="15"/>
  <c r="EK28" i="15"/>
  <c r="EJ28" i="15"/>
  <c r="EI28" i="15"/>
  <c r="EH28" i="15"/>
  <c r="EG28" i="15"/>
  <c r="EF28" i="15"/>
  <c r="EE28" i="15"/>
  <c r="ED28" i="15"/>
  <c r="EC28" i="15"/>
  <c r="EB28" i="15"/>
  <c r="EA28" i="15"/>
  <c r="DZ28" i="15"/>
  <c r="DY28" i="15"/>
  <c r="DX28" i="15"/>
  <c r="DW28" i="15"/>
  <c r="DV28" i="15"/>
  <c r="DU28" i="15"/>
  <c r="DT28" i="15"/>
  <c r="DS28" i="15"/>
  <c r="DR28" i="15"/>
  <c r="DQ28" i="15"/>
  <c r="DP28" i="15"/>
  <c r="DO28" i="15"/>
  <c r="DN28" i="15"/>
  <c r="DM28" i="15"/>
  <c r="DL28" i="15"/>
  <c r="DK28" i="15"/>
  <c r="DJ28" i="15"/>
  <c r="DI28" i="15"/>
  <c r="DH28" i="15"/>
  <c r="DG28" i="15"/>
  <c r="DF28" i="15"/>
  <c r="DE28" i="15"/>
  <c r="DD28" i="15"/>
  <c r="DC28" i="15"/>
  <c r="DB28" i="15"/>
  <c r="DA28" i="15"/>
  <c r="CZ28" i="15"/>
  <c r="CY28" i="15"/>
  <c r="CX28" i="15"/>
  <c r="CW28" i="15"/>
  <c r="CV28" i="15"/>
  <c r="CU28" i="15"/>
  <c r="CT28" i="15"/>
  <c r="CS28" i="15"/>
  <c r="CR28" i="15"/>
  <c r="CQ28" i="15"/>
  <c r="CP28" i="15"/>
  <c r="CO28" i="15"/>
  <c r="CN28" i="15"/>
  <c r="CM28" i="15"/>
  <c r="CL28" i="15"/>
  <c r="CK28" i="15"/>
  <c r="CJ28" i="15"/>
  <c r="CI28" i="15"/>
  <c r="CH28" i="15"/>
  <c r="CG28" i="15"/>
  <c r="CF28" i="15"/>
  <c r="CE28" i="15"/>
  <c r="CD28" i="15"/>
  <c r="CC28" i="15"/>
  <c r="CB28" i="15"/>
  <c r="CA28" i="15"/>
  <c r="BZ28" i="15"/>
  <c r="BY28" i="15"/>
  <c r="BX28" i="15"/>
  <c r="BW28" i="15"/>
  <c r="BV28" i="15"/>
  <c r="BU28" i="15"/>
  <c r="BT28" i="15"/>
  <c r="BS28" i="15"/>
  <c r="BR28" i="15"/>
  <c r="BQ28" i="15"/>
  <c r="BP28" i="15"/>
  <c r="BO28" i="15"/>
  <c r="BN28" i="15"/>
  <c r="BM28" i="15"/>
  <c r="BL28" i="15"/>
  <c r="BK28" i="15"/>
  <c r="BJ28" i="15"/>
  <c r="BI28" i="15"/>
  <c r="BH28" i="15"/>
  <c r="BG28" i="15"/>
  <c r="BF28" i="15"/>
  <c r="BE28" i="15"/>
  <c r="BD28" i="15"/>
  <c r="BC28" i="15"/>
  <c r="BB28" i="15"/>
  <c r="BA28" i="15"/>
  <c r="AZ28" i="15"/>
  <c r="AY28" i="15"/>
  <c r="AX28" i="15"/>
  <c r="AW28" i="15"/>
  <c r="AV28" i="15"/>
  <c r="AU28" i="15"/>
  <c r="AT28" i="15"/>
  <c r="AS28" i="15"/>
  <c r="AR28" i="15"/>
  <c r="AQ28" i="15"/>
  <c r="AP28" i="15"/>
  <c r="AO28" i="15"/>
  <c r="AN28" i="15"/>
  <c r="AM28" i="15"/>
  <c r="AL28" i="15"/>
  <c r="AK28" i="15"/>
  <c r="AJ28" i="15"/>
  <c r="AI28" i="15"/>
  <c r="AH28" i="15"/>
  <c r="AG28" i="15"/>
  <c r="AF28" i="15"/>
  <c r="AE28" i="15"/>
  <c r="AD28" i="15"/>
  <c r="AC28" i="15"/>
  <c r="AB28" i="15"/>
  <c r="AA28" i="15"/>
  <c r="Z28" i="15"/>
  <c r="Y28" i="15"/>
  <c r="X28" i="15"/>
  <c r="W28" i="15"/>
  <c r="V28" i="15"/>
  <c r="U28" i="15"/>
  <c r="T28" i="15"/>
  <c r="S28" i="15"/>
  <c r="R28" i="15"/>
  <c r="Q28" i="15"/>
  <c r="P28" i="15"/>
  <c r="O28" i="15"/>
  <c r="N28" i="15"/>
  <c r="M28" i="15"/>
  <c r="L28" i="15"/>
  <c r="K28" i="15"/>
  <c r="GA27" i="15"/>
  <c r="FZ27" i="15"/>
  <c r="FY27" i="15"/>
  <c r="FX27" i="15"/>
  <c r="FW27" i="15"/>
  <c r="FV27" i="15"/>
  <c r="FU27" i="15"/>
  <c r="FT27" i="15"/>
  <c r="FS27" i="15"/>
  <c r="FR27" i="15"/>
  <c r="FQ27" i="15"/>
  <c r="FP27" i="15"/>
  <c r="FO27" i="15"/>
  <c r="FN27" i="15"/>
  <c r="FM27" i="15"/>
  <c r="FL27" i="15"/>
  <c r="FK27" i="15"/>
  <c r="FJ27" i="15"/>
  <c r="FI27" i="15"/>
  <c r="FH27" i="15"/>
  <c r="FG27" i="15"/>
  <c r="FF27" i="15"/>
  <c r="FE27" i="15"/>
  <c r="FD27" i="15"/>
  <c r="FC27" i="15"/>
  <c r="FB27" i="15"/>
  <c r="FA27" i="15"/>
  <c r="EZ27" i="15"/>
  <c r="EY27" i="15"/>
  <c r="EX27" i="15"/>
  <c r="EW27" i="15"/>
  <c r="EV27" i="15"/>
  <c r="EU27" i="15"/>
  <c r="ET27" i="15"/>
  <c r="ES27" i="15"/>
  <c r="ER27" i="15"/>
  <c r="EQ27" i="15"/>
  <c r="EP27" i="15"/>
  <c r="EO27" i="15"/>
  <c r="EN27" i="15"/>
  <c r="EM27" i="15"/>
  <c r="EL27" i="15"/>
  <c r="EK27" i="15"/>
  <c r="EJ27" i="15"/>
  <c r="EI27" i="15"/>
  <c r="EH27" i="15"/>
  <c r="EG27" i="15"/>
  <c r="EF27" i="15"/>
  <c r="EE27" i="15"/>
  <c r="ED27" i="15"/>
  <c r="EC27" i="15"/>
  <c r="EB27" i="15"/>
  <c r="EA27" i="15"/>
  <c r="DZ27" i="15"/>
  <c r="DY27" i="15"/>
  <c r="DX27" i="15"/>
  <c r="DW27" i="15"/>
  <c r="DV27" i="15"/>
  <c r="DU27" i="15"/>
  <c r="DT27" i="15"/>
  <c r="DS27" i="15"/>
  <c r="DR27" i="15"/>
  <c r="DQ27" i="15"/>
  <c r="DP27" i="15"/>
  <c r="DO27" i="15"/>
  <c r="DN27" i="15"/>
  <c r="DM27" i="15"/>
  <c r="DL27" i="15"/>
  <c r="DK27" i="15"/>
  <c r="DJ27" i="15"/>
  <c r="DI27" i="15"/>
  <c r="DH27" i="15"/>
  <c r="DG27" i="15"/>
  <c r="DF27" i="15"/>
  <c r="DE27" i="15"/>
  <c r="DD27" i="15"/>
  <c r="DC27" i="15"/>
  <c r="DB27" i="15"/>
  <c r="DA27" i="15"/>
  <c r="CZ27" i="15"/>
  <c r="CY27" i="15"/>
  <c r="CX27" i="15"/>
  <c r="CW27" i="15"/>
  <c r="CV27" i="15"/>
  <c r="CU27" i="15"/>
  <c r="CT27" i="15"/>
  <c r="CS27" i="15"/>
  <c r="CR27" i="15"/>
  <c r="CQ27" i="15"/>
  <c r="CP27" i="15"/>
  <c r="CO27" i="15"/>
  <c r="CN27" i="15"/>
  <c r="CM27" i="15"/>
  <c r="CL27" i="15"/>
  <c r="CK27" i="15"/>
  <c r="CJ27" i="15"/>
  <c r="CI27" i="15"/>
  <c r="CH27" i="15"/>
  <c r="CG27" i="15"/>
  <c r="CF27" i="15"/>
  <c r="CE27" i="15"/>
  <c r="CD27" i="15"/>
  <c r="CC27" i="15"/>
  <c r="CB27" i="15"/>
  <c r="CA27" i="15"/>
  <c r="BZ27" i="15"/>
  <c r="BY27" i="15"/>
  <c r="BX27" i="15"/>
  <c r="BW27" i="15"/>
  <c r="BV27" i="15"/>
  <c r="BU27" i="15"/>
  <c r="BT27" i="15"/>
  <c r="BS27" i="15"/>
  <c r="BR27" i="15"/>
  <c r="BQ27" i="15"/>
  <c r="BP27" i="15"/>
  <c r="BO27" i="15"/>
  <c r="BN27" i="15"/>
  <c r="BM27" i="15"/>
  <c r="BL27" i="15"/>
  <c r="BK27" i="15"/>
  <c r="BJ27" i="15"/>
  <c r="BI27" i="15"/>
  <c r="BH27" i="15"/>
  <c r="BG27" i="15"/>
  <c r="BF27" i="15"/>
  <c r="BE27" i="15"/>
  <c r="BD27" i="15"/>
  <c r="BC27" i="15"/>
  <c r="BB27" i="15"/>
  <c r="BA27" i="15"/>
  <c r="AZ27" i="15"/>
  <c r="AY27" i="15"/>
  <c r="AX27" i="15"/>
  <c r="AW27" i="15"/>
  <c r="AV27" i="15"/>
  <c r="AU27" i="15"/>
  <c r="AT27" i="15"/>
  <c r="AS27" i="15"/>
  <c r="AR27" i="15"/>
  <c r="AQ27" i="15"/>
  <c r="AP27" i="15"/>
  <c r="AO27" i="15"/>
  <c r="AN27" i="15"/>
  <c r="AM27" i="15"/>
  <c r="AL27" i="15"/>
  <c r="AK27" i="15"/>
  <c r="AJ27" i="15"/>
  <c r="AI27" i="15"/>
  <c r="AH27" i="15"/>
  <c r="AG27" i="15"/>
  <c r="AF27" i="15"/>
  <c r="AE27" i="15"/>
  <c r="AD27" i="15"/>
  <c r="AC27" i="15"/>
  <c r="AB27" i="15"/>
  <c r="AA27" i="15"/>
  <c r="Z27" i="15"/>
  <c r="Y27" i="15"/>
  <c r="X27" i="15"/>
  <c r="W27" i="15"/>
  <c r="V27" i="15"/>
  <c r="U27" i="15"/>
  <c r="T27" i="15"/>
  <c r="S27" i="15"/>
  <c r="R27" i="15"/>
  <c r="Q27" i="15"/>
  <c r="P27" i="15"/>
  <c r="O27" i="15"/>
  <c r="N27" i="15"/>
  <c r="M27" i="15"/>
  <c r="L27" i="15"/>
  <c r="K27" i="15"/>
  <c r="GA26" i="15"/>
  <c r="FZ26" i="15"/>
  <c r="FY26" i="15"/>
  <c r="FX26" i="15"/>
  <c r="FW26" i="15"/>
  <c r="FV26" i="15"/>
  <c r="FU26" i="15"/>
  <c r="FT26" i="15"/>
  <c r="FS26" i="15"/>
  <c r="FR26" i="15"/>
  <c r="FQ26" i="15"/>
  <c r="FP26" i="15"/>
  <c r="FO26" i="15"/>
  <c r="FN26" i="15"/>
  <c r="FM26" i="15"/>
  <c r="FL26" i="15"/>
  <c r="FK26" i="15"/>
  <c r="FJ26" i="15"/>
  <c r="FI26" i="15"/>
  <c r="FH26" i="15"/>
  <c r="FG26" i="15"/>
  <c r="FF26" i="15"/>
  <c r="FE26" i="15"/>
  <c r="FD26" i="15"/>
  <c r="FC26" i="15"/>
  <c r="FB26" i="15"/>
  <c r="FA26" i="15"/>
  <c r="EZ26" i="15"/>
  <c r="EY26" i="15"/>
  <c r="EX26" i="15"/>
  <c r="EW26" i="15"/>
  <c r="EV26" i="15"/>
  <c r="EU26" i="15"/>
  <c r="ET26" i="15"/>
  <c r="ES26" i="15"/>
  <c r="ER26" i="15"/>
  <c r="EQ26" i="15"/>
  <c r="EP26" i="15"/>
  <c r="EO26" i="15"/>
  <c r="EN26" i="15"/>
  <c r="EM26" i="15"/>
  <c r="EL26" i="15"/>
  <c r="EK26" i="15"/>
  <c r="EJ26" i="15"/>
  <c r="EI26" i="15"/>
  <c r="EH26" i="15"/>
  <c r="EG26" i="15"/>
  <c r="EF26" i="15"/>
  <c r="EE26" i="15"/>
  <c r="ED26" i="15"/>
  <c r="EC26" i="15"/>
  <c r="EB26" i="15"/>
  <c r="EA26" i="15"/>
  <c r="DZ26" i="15"/>
  <c r="DY26" i="15"/>
  <c r="DX26" i="15"/>
  <c r="DW26" i="15"/>
  <c r="DV26" i="15"/>
  <c r="DU26" i="15"/>
  <c r="DT26" i="15"/>
  <c r="DS26" i="15"/>
  <c r="DR26" i="15"/>
  <c r="DQ26" i="15"/>
  <c r="DP26" i="15"/>
  <c r="DO26" i="15"/>
  <c r="DN26" i="15"/>
  <c r="DM26" i="15"/>
  <c r="DL26" i="15"/>
  <c r="DK26" i="15"/>
  <c r="DJ26" i="15"/>
  <c r="DI26" i="15"/>
  <c r="DH26" i="15"/>
  <c r="DG26" i="15"/>
  <c r="DF26" i="15"/>
  <c r="DE26" i="15"/>
  <c r="DD26" i="15"/>
  <c r="DC26" i="15"/>
  <c r="DB26" i="15"/>
  <c r="DA26" i="15"/>
  <c r="CZ26" i="15"/>
  <c r="CY26" i="15"/>
  <c r="CX26" i="15"/>
  <c r="CW26" i="15"/>
  <c r="CV26" i="15"/>
  <c r="CU26" i="15"/>
  <c r="CT26" i="15"/>
  <c r="CS26" i="15"/>
  <c r="CR26" i="15"/>
  <c r="CQ26" i="15"/>
  <c r="CP26" i="15"/>
  <c r="CO26" i="15"/>
  <c r="CN26" i="15"/>
  <c r="CM26" i="15"/>
  <c r="CL26" i="15"/>
  <c r="CK26" i="15"/>
  <c r="CJ26" i="15"/>
  <c r="CI26" i="15"/>
  <c r="CH26" i="15"/>
  <c r="CG26" i="15"/>
  <c r="CF26" i="15"/>
  <c r="CE26" i="15"/>
  <c r="CD26" i="15"/>
  <c r="CC26" i="15"/>
  <c r="CB26" i="15"/>
  <c r="CA26" i="15"/>
  <c r="BZ26" i="15"/>
  <c r="BY26" i="15"/>
  <c r="BX26" i="15"/>
  <c r="BW26" i="15"/>
  <c r="BV26" i="15"/>
  <c r="BU26" i="15"/>
  <c r="BT26" i="15"/>
  <c r="BS26" i="15"/>
  <c r="BR26" i="15"/>
  <c r="BQ26" i="15"/>
  <c r="BP26" i="15"/>
  <c r="BO26" i="15"/>
  <c r="BN26" i="15"/>
  <c r="BM26" i="15"/>
  <c r="BL26" i="15"/>
  <c r="BK26" i="15"/>
  <c r="BJ26" i="15"/>
  <c r="BI26" i="15"/>
  <c r="BH26" i="15"/>
  <c r="BG26" i="15"/>
  <c r="BF26" i="15"/>
  <c r="BE26" i="15"/>
  <c r="BD26" i="15"/>
  <c r="BC26" i="15"/>
  <c r="BB26" i="15"/>
  <c r="BA26" i="15"/>
  <c r="AZ26" i="15"/>
  <c r="AY26" i="15"/>
  <c r="AX26" i="15"/>
  <c r="AW26" i="15"/>
  <c r="AV26" i="15"/>
  <c r="AU26" i="15"/>
  <c r="AT26" i="15"/>
  <c r="AS26" i="15"/>
  <c r="AR26" i="15"/>
  <c r="AQ26" i="15"/>
  <c r="AP26" i="15"/>
  <c r="AO26" i="15"/>
  <c r="AN26" i="15"/>
  <c r="AM26" i="15"/>
  <c r="AL26" i="15"/>
  <c r="AK26" i="15"/>
  <c r="AJ26" i="15"/>
  <c r="AI26" i="15"/>
  <c r="AH26" i="15"/>
  <c r="AG26" i="15"/>
  <c r="AF26" i="15"/>
  <c r="AE26" i="15"/>
  <c r="AD26" i="15"/>
  <c r="AC26" i="15"/>
  <c r="AB26" i="15"/>
  <c r="AA26" i="15"/>
  <c r="Z26" i="15"/>
  <c r="Y26" i="15"/>
  <c r="X26" i="15"/>
  <c r="W26" i="15"/>
  <c r="V26" i="15"/>
  <c r="U26" i="15"/>
  <c r="T26" i="15"/>
  <c r="S26" i="15"/>
  <c r="R26" i="15"/>
  <c r="Q26" i="15"/>
  <c r="P26" i="15"/>
  <c r="O26" i="15"/>
  <c r="N26" i="15"/>
  <c r="M26" i="15"/>
  <c r="L26" i="15"/>
  <c r="K26" i="15"/>
  <c r="GA25" i="15"/>
  <c r="FZ25" i="15"/>
  <c r="FY25" i="15"/>
  <c r="FX25" i="15"/>
  <c r="FW25" i="15"/>
  <c r="FV25" i="15"/>
  <c r="FU25" i="15"/>
  <c r="FT25" i="15"/>
  <c r="FS25" i="15"/>
  <c r="FR25" i="15"/>
  <c r="FQ25" i="15"/>
  <c r="FP25" i="15"/>
  <c r="FO25" i="15"/>
  <c r="FN25" i="15"/>
  <c r="FM25" i="15"/>
  <c r="FL25" i="15"/>
  <c r="FK25" i="15"/>
  <c r="FJ25" i="15"/>
  <c r="FI25" i="15"/>
  <c r="FH25" i="15"/>
  <c r="FG25" i="15"/>
  <c r="FF25" i="15"/>
  <c r="FE25" i="15"/>
  <c r="FD25" i="15"/>
  <c r="FC25" i="15"/>
  <c r="FB25" i="15"/>
  <c r="FA25" i="15"/>
  <c r="EZ25" i="15"/>
  <c r="EY25" i="15"/>
  <c r="EX25" i="15"/>
  <c r="EW25" i="15"/>
  <c r="EV25" i="15"/>
  <c r="EU25" i="15"/>
  <c r="ET25" i="15"/>
  <c r="ES25" i="15"/>
  <c r="ER25" i="15"/>
  <c r="EQ25" i="15"/>
  <c r="EP25" i="15"/>
  <c r="EO25" i="15"/>
  <c r="EN25" i="15"/>
  <c r="EM25" i="15"/>
  <c r="EL25" i="15"/>
  <c r="EK25" i="15"/>
  <c r="EJ25" i="15"/>
  <c r="EI25" i="15"/>
  <c r="EH25" i="15"/>
  <c r="EG25" i="15"/>
  <c r="EF25" i="15"/>
  <c r="EE25" i="15"/>
  <c r="ED25" i="15"/>
  <c r="EC25" i="15"/>
  <c r="EB25" i="15"/>
  <c r="EA25" i="15"/>
  <c r="DZ25" i="15"/>
  <c r="DY25" i="15"/>
  <c r="DX25" i="15"/>
  <c r="DW25" i="15"/>
  <c r="DV25" i="15"/>
  <c r="DU25" i="15"/>
  <c r="DT25" i="15"/>
  <c r="DS25" i="15"/>
  <c r="DR25" i="15"/>
  <c r="DQ25" i="15"/>
  <c r="DP25" i="15"/>
  <c r="DO25" i="15"/>
  <c r="DN25" i="15"/>
  <c r="DM25" i="15"/>
  <c r="DL25" i="15"/>
  <c r="DK25" i="15"/>
  <c r="DJ25" i="15"/>
  <c r="DI25" i="15"/>
  <c r="DH25" i="15"/>
  <c r="DG25" i="15"/>
  <c r="DF25" i="15"/>
  <c r="DE25" i="15"/>
  <c r="DD25" i="15"/>
  <c r="DC25" i="15"/>
  <c r="DB25" i="15"/>
  <c r="DA25" i="15"/>
  <c r="CZ25" i="15"/>
  <c r="CY25" i="15"/>
  <c r="CX25" i="15"/>
  <c r="CW25" i="15"/>
  <c r="CV25" i="15"/>
  <c r="CU25" i="15"/>
  <c r="CT25" i="15"/>
  <c r="CS25" i="15"/>
  <c r="CR25" i="15"/>
  <c r="CQ25" i="15"/>
  <c r="CP25" i="15"/>
  <c r="CO25" i="15"/>
  <c r="CN25" i="15"/>
  <c r="CM25" i="15"/>
  <c r="CL25" i="15"/>
  <c r="CK25" i="15"/>
  <c r="CJ25" i="15"/>
  <c r="CI25" i="15"/>
  <c r="CH25" i="15"/>
  <c r="CG25" i="15"/>
  <c r="CF25" i="15"/>
  <c r="CE25" i="15"/>
  <c r="CD25" i="15"/>
  <c r="CC25" i="15"/>
  <c r="CB25" i="15"/>
  <c r="CA25" i="15"/>
  <c r="BZ25" i="15"/>
  <c r="BY25" i="15"/>
  <c r="BX25" i="15"/>
  <c r="BW25" i="15"/>
  <c r="BV25" i="15"/>
  <c r="BU25" i="15"/>
  <c r="BT25" i="15"/>
  <c r="BS25" i="15"/>
  <c r="BR25" i="15"/>
  <c r="BQ25" i="15"/>
  <c r="BP25" i="15"/>
  <c r="BO25" i="15"/>
  <c r="BN25" i="15"/>
  <c r="BM25" i="15"/>
  <c r="BL25" i="15"/>
  <c r="BK25" i="15"/>
  <c r="BJ25" i="15"/>
  <c r="BI25" i="15"/>
  <c r="BH25" i="15"/>
  <c r="BG25" i="15"/>
  <c r="BF25" i="15"/>
  <c r="BE25" i="15"/>
  <c r="BD25" i="15"/>
  <c r="BC25" i="15"/>
  <c r="BB25" i="15"/>
  <c r="BA25" i="15"/>
  <c r="AZ25" i="15"/>
  <c r="AY25" i="15"/>
  <c r="AX25" i="15"/>
  <c r="AW25" i="15"/>
  <c r="AV25" i="15"/>
  <c r="AU25" i="15"/>
  <c r="AT25" i="15"/>
  <c r="AS25" i="15"/>
  <c r="AR25" i="15"/>
  <c r="AQ25" i="15"/>
  <c r="AP25" i="15"/>
  <c r="AO25" i="15"/>
  <c r="AN25" i="15"/>
  <c r="AM25" i="15"/>
  <c r="AL25" i="15"/>
  <c r="AK25" i="15"/>
  <c r="AJ25" i="15"/>
  <c r="AI25" i="15"/>
  <c r="AH25" i="15"/>
  <c r="AG25" i="15"/>
  <c r="AF25" i="15"/>
  <c r="AE25" i="15"/>
  <c r="AD25" i="15"/>
  <c r="AC25" i="15"/>
  <c r="AB25" i="15"/>
  <c r="AA25" i="15"/>
  <c r="Z25" i="15"/>
  <c r="Y25" i="15"/>
  <c r="X25" i="15"/>
  <c r="W25" i="15"/>
  <c r="V25" i="15"/>
  <c r="U25" i="15"/>
  <c r="T25" i="15"/>
  <c r="S25" i="15"/>
  <c r="R25" i="15"/>
  <c r="Q25" i="15"/>
  <c r="P25" i="15"/>
  <c r="O25" i="15"/>
  <c r="N25" i="15"/>
  <c r="M25" i="15"/>
  <c r="L25" i="15"/>
  <c r="K25" i="15"/>
  <c r="J25" i="15"/>
  <c r="J27" i="15" s="1"/>
  <c r="F58" i="9"/>
  <c r="D25" i="16"/>
  <c r="D24" i="16"/>
  <c r="D23" i="16"/>
  <c r="D22" i="16"/>
  <c r="D18" i="16"/>
  <c r="D16" i="16"/>
  <c r="C10" i="16"/>
  <c r="C8" i="16"/>
  <c r="C7" i="16"/>
  <c r="C6" i="16"/>
  <c r="G20" i="8"/>
  <c r="G17" i="8"/>
  <c r="G19" i="8"/>
  <c r="F19" i="8"/>
  <c r="F20" i="8"/>
  <c r="F22" i="8"/>
  <c r="D10" i="8"/>
  <c r="D10" i="6"/>
  <c r="D95" i="9"/>
  <c r="F28" i="8" s="1"/>
  <c r="D27" i="9"/>
  <c r="Q50" i="9" s="1"/>
  <c r="T50" i="9" s="1"/>
  <c r="D40" i="14"/>
  <c r="D39" i="14"/>
  <c r="D38" i="14"/>
  <c r="D37" i="14"/>
  <c r="D36" i="14"/>
  <c r="D35" i="14"/>
  <c r="D34" i="14"/>
  <c r="D33" i="14"/>
  <c r="D32" i="14"/>
  <c r="D31" i="14"/>
  <c r="D30" i="14"/>
  <c r="D29" i="14"/>
  <c r="D28" i="14"/>
  <c r="D27" i="14"/>
  <c r="D26" i="14"/>
  <c r="Q21" i="9"/>
  <c r="R21" i="9"/>
  <c r="O22" i="9"/>
  <c r="P22" i="9" s="1"/>
  <c r="R22" i="9" s="1"/>
  <c r="D62" i="14"/>
  <c r="F22" i="14"/>
  <c r="E22" i="14"/>
  <c r="E39" i="14" s="1"/>
  <c r="C22" i="14"/>
  <c r="C39" i="14" s="1"/>
  <c r="F9" i="14"/>
  <c r="E9" i="14"/>
  <c r="E26" i="14" s="1"/>
  <c r="C9" i="14"/>
  <c r="B45" i="14" s="1"/>
  <c r="F23" i="14"/>
  <c r="F21" i="14"/>
  <c r="F20" i="14"/>
  <c r="F19" i="14"/>
  <c r="F18" i="14"/>
  <c r="F17" i="14"/>
  <c r="F16" i="14"/>
  <c r="F15" i="14"/>
  <c r="F14" i="14"/>
  <c r="F13" i="14"/>
  <c r="F12" i="14"/>
  <c r="F11" i="14"/>
  <c r="F10" i="14"/>
  <c r="E23" i="14"/>
  <c r="E40" i="14" s="1"/>
  <c r="E21" i="14"/>
  <c r="E38" i="14" s="1"/>
  <c r="E20" i="14"/>
  <c r="E37" i="14" s="1"/>
  <c r="E19" i="14"/>
  <c r="E36" i="14" s="1"/>
  <c r="E18" i="14"/>
  <c r="E35" i="14" s="1"/>
  <c r="E17" i="14"/>
  <c r="E34" i="14" s="1"/>
  <c r="E16" i="14"/>
  <c r="E33" i="14" s="1"/>
  <c r="E15" i="14"/>
  <c r="E32" i="14" s="1"/>
  <c r="E14" i="14"/>
  <c r="E31" i="14" s="1"/>
  <c r="E13" i="14"/>
  <c r="E30" i="14" s="1"/>
  <c r="E12" i="14"/>
  <c r="E29" i="14" s="1"/>
  <c r="E11" i="14"/>
  <c r="E28" i="14" s="1"/>
  <c r="E10" i="14"/>
  <c r="E27" i="14" s="1"/>
  <c r="C23" i="14"/>
  <c r="C21" i="14"/>
  <c r="C38" i="14" s="1"/>
  <c r="C20" i="14"/>
  <c r="C19" i="14"/>
  <c r="C36" i="14" s="1"/>
  <c r="C18" i="14"/>
  <c r="C35" i="14" s="1"/>
  <c r="C17" i="14"/>
  <c r="C34" i="14" s="1"/>
  <c r="C16" i="14"/>
  <c r="C15" i="14"/>
  <c r="C32" i="14" s="1"/>
  <c r="C14" i="14"/>
  <c r="C13" i="14"/>
  <c r="C30" i="14" s="1"/>
  <c r="C12" i="14"/>
  <c r="C11" i="14"/>
  <c r="B47" i="14" s="1"/>
  <c r="C10" i="14"/>
  <c r="D42" i="14"/>
  <c r="D56" i="14" s="1"/>
  <c r="D19" i="16"/>
  <c r="D32" i="16" s="1"/>
  <c r="G21" i="8"/>
  <c r="O83" i="9"/>
  <c r="O79" i="9"/>
  <c r="P79" i="9" s="1"/>
  <c r="R79" i="9" s="1"/>
  <c r="O77" i="9"/>
  <c r="O65" i="9"/>
  <c r="D8" i="8"/>
  <c r="D7" i="8"/>
  <c r="D6" i="8"/>
  <c r="D8" i="6"/>
  <c r="D7" i="6"/>
  <c r="D6" i="6"/>
  <c r="C6" i="15"/>
  <c r="C8" i="15"/>
  <c r="C7" i="15"/>
  <c r="C10" i="15"/>
  <c r="D37" i="9"/>
  <c r="Q76" i="9"/>
  <c r="G23" i="8"/>
  <c r="G22" i="8"/>
  <c r="G18" i="8"/>
  <c r="D38" i="15"/>
  <c r="C38" i="15"/>
  <c r="J26" i="15"/>
  <c r="D37" i="15"/>
  <c r="C37" i="15"/>
  <c r="J28" i="15"/>
  <c r="J29" i="15"/>
  <c r="C36" i="15"/>
  <c r="C35" i="15"/>
  <c r="D36" i="15"/>
  <c r="D25" i="15" s="1"/>
  <c r="D35" i="15"/>
  <c r="B36" i="8"/>
  <c r="D56" i="9"/>
  <c r="Q18" i="9"/>
  <c r="R18" i="9"/>
  <c r="S18" i="9"/>
  <c r="Q41" i="9"/>
  <c r="R41" i="9"/>
  <c r="Q39" i="9"/>
  <c r="Q36" i="9"/>
  <c r="R36" i="9"/>
  <c r="Q25" i="9"/>
  <c r="R25" i="9"/>
  <c r="Q26" i="9"/>
  <c r="R26" i="9"/>
  <c r="Q31" i="9"/>
  <c r="R31" i="9"/>
  <c r="S31" i="9"/>
  <c r="Q32" i="9"/>
  <c r="R32" i="9"/>
  <c r="S32" i="9"/>
  <c r="Q35" i="9"/>
  <c r="R35" i="9"/>
  <c r="D40" i="9" l="1"/>
  <c r="D101" i="9" s="1"/>
  <c r="D100" i="9" s="1"/>
  <c r="F100" i="9" s="1"/>
  <c r="P40" i="9"/>
  <c r="P37" i="9"/>
  <c r="F23" i="8"/>
  <c r="R40" i="9"/>
  <c r="F21" i="8"/>
  <c r="F26" i="15"/>
  <c r="G25" i="15"/>
  <c r="P76" i="9"/>
  <c r="R76" i="9" s="1"/>
  <c r="T76" i="9" s="1"/>
  <c r="R56" i="9"/>
  <c r="Q56" i="9"/>
  <c r="S55" i="9"/>
  <c r="T55" i="9" s="1"/>
  <c r="C36" i="8"/>
  <c r="G36" i="8" s="1"/>
  <c r="B54" i="14"/>
  <c r="Q37" i="9"/>
  <c r="M36" i="8"/>
  <c r="D67" i="14"/>
  <c r="Z36" i="8"/>
  <c r="P39" i="9"/>
  <c r="R39" i="9" s="1"/>
  <c r="T39" i="9" s="1"/>
  <c r="D26" i="16"/>
  <c r="AE36" i="8"/>
  <c r="Y36" i="8"/>
  <c r="R36" i="8"/>
  <c r="B37" i="8"/>
  <c r="B38" i="8" s="1"/>
  <c r="Q36" i="8"/>
  <c r="P78" i="9"/>
  <c r="R78" i="9" s="1"/>
  <c r="T78" i="9" s="1"/>
  <c r="F27" i="8"/>
  <c r="I56" i="9"/>
  <c r="T41" i="9"/>
  <c r="T36" i="9"/>
  <c r="T26" i="9"/>
  <c r="P83" i="9"/>
  <c r="R83" i="9" s="1"/>
  <c r="Q83" i="9"/>
  <c r="P65" i="9"/>
  <c r="R65" i="9" s="1"/>
  <c r="Q65" i="9"/>
  <c r="P77" i="9"/>
  <c r="R77" i="9" s="1"/>
  <c r="Q77" i="9"/>
  <c r="S28" i="9"/>
  <c r="Q29" i="9"/>
  <c r="R28" i="9"/>
  <c r="R29" i="9"/>
  <c r="Q28" i="9"/>
  <c r="S29" i="9"/>
  <c r="H25" i="15"/>
  <c r="E25" i="15"/>
  <c r="J3" i="16"/>
  <c r="J22" i="16"/>
  <c r="T32" i="9"/>
  <c r="D15" i="16"/>
  <c r="R17" i="9"/>
  <c r="F25" i="15"/>
  <c r="F28" i="15" s="1"/>
  <c r="F29" i="15" s="1"/>
  <c r="D86" i="9"/>
  <c r="T18" i="9"/>
  <c r="T66" i="9"/>
  <c r="T21" i="9"/>
  <c r="B58" i="14"/>
  <c r="T35" i="9"/>
  <c r="T82" i="9"/>
  <c r="G26" i="15"/>
  <c r="C26" i="14"/>
  <c r="D53" i="14"/>
  <c r="B57" i="14"/>
  <c r="E62" i="14"/>
  <c r="D76" i="14"/>
  <c r="I59" i="9"/>
  <c r="I60" i="9" s="1"/>
  <c r="I58" i="9"/>
  <c r="R37" i="9"/>
  <c r="P81" i="9"/>
  <c r="R81" i="9" s="1"/>
  <c r="T81" i="9" s="1"/>
  <c r="P69" i="9"/>
  <c r="R69" i="9" s="1"/>
  <c r="T69" i="9" s="1"/>
  <c r="T68" i="9" s="1"/>
  <c r="P63" i="9"/>
  <c r="R63" i="9" s="1"/>
  <c r="T63" i="9" s="1"/>
  <c r="D94" i="9"/>
  <c r="T25" i="9"/>
  <c r="D46" i="14"/>
  <c r="D45" i="14"/>
  <c r="B49" i="14"/>
  <c r="B55" i="14"/>
  <c r="C28" i="14"/>
  <c r="T64" i="9"/>
  <c r="Q79" i="9"/>
  <c r="T79" i="9" s="1"/>
  <c r="D55" i="14"/>
  <c r="Q17" i="9"/>
  <c r="Q37" i="8"/>
  <c r="AD36" i="8"/>
  <c r="Q22" i="9"/>
  <c r="T22" i="9" s="1"/>
  <c r="T31" i="9"/>
  <c r="AH36" i="8"/>
  <c r="D52" i="14"/>
  <c r="D49" i="14"/>
  <c r="D57" i="14"/>
  <c r="D54" i="14"/>
  <c r="I25" i="15"/>
  <c r="C29" i="14"/>
  <c r="B48" i="14"/>
  <c r="C33" i="14"/>
  <c r="B52" i="14"/>
  <c r="B56" i="14"/>
  <c r="C37" i="14"/>
  <c r="D26" i="15"/>
  <c r="D27" i="15" s="1"/>
  <c r="E26" i="15"/>
  <c r="I26" i="15"/>
  <c r="H26" i="15"/>
  <c r="C27" i="14"/>
  <c r="B46" i="14"/>
  <c r="C31" i="14"/>
  <c r="B50" i="14"/>
  <c r="B59" i="14"/>
  <c r="C40" i="14"/>
  <c r="D47" i="14"/>
  <c r="D59" i="14"/>
  <c r="E42" i="14"/>
  <c r="D58" i="14"/>
  <c r="B53" i="14"/>
  <c r="D51" i="14"/>
  <c r="D48" i="14"/>
  <c r="D50" i="14"/>
  <c r="B51" i="14"/>
  <c r="G27" i="15" l="1"/>
  <c r="Q40" i="9"/>
  <c r="T40" i="9" s="1"/>
  <c r="J36" i="8"/>
  <c r="F101" i="9"/>
  <c r="I36" i="8"/>
  <c r="AE37" i="8"/>
  <c r="J37" i="8"/>
  <c r="T56" i="9"/>
  <c r="T47" i="9" s="1"/>
  <c r="AH37" i="8"/>
  <c r="E28" i="15"/>
  <c r="E29" i="15" s="1"/>
  <c r="AD38" i="8"/>
  <c r="X38" i="8" s="1"/>
  <c r="C38" i="8"/>
  <c r="G38" i="8" s="1"/>
  <c r="D36" i="8"/>
  <c r="C37" i="8"/>
  <c r="G37" i="8" s="1"/>
  <c r="X36" i="8"/>
  <c r="N36" i="8"/>
  <c r="AF36" i="8" s="1"/>
  <c r="H27" i="15"/>
  <c r="D88" i="9"/>
  <c r="D91" i="9" s="1"/>
  <c r="T28" i="9"/>
  <c r="T37" i="9"/>
  <c r="T29" i="9"/>
  <c r="M38" i="8"/>
  <c r="M37" i="8"/>
  <c r="E67" i="14"/>
  <c r="Z38" i="8"/>
  <c r="Z37" i="8"/>
  <c r="Y37" i="8"/>
  <c r="R37" i="8"/>
  <c r="AD37" i="8"/>
  <c r="T77" i="9"/>
  <c r="T83" i="9"/>
  <c r="AH38" i="8"/>
  <c r="R38" i="8"/>
  <c r="Y38" i="8"/>
  <c r="Q38" i="8"/>
  <c r="D87" i="9"/>
  <c r="D90" i="9" s="1"/>
  <c r="D89" i="9"/>
  <c r="D92" i="9" s="1"/>
  <c r="F18" i="8" s="1"/>
  <c r="T65" i="9"/>
  <c r="T62" i="9" s="1"/>
  <c r="T17" i="9"/>
  <c r="T16" i="9" s="1"/>
  <c r="S13" i="9"/>
  <c r="F27" i="15"/>
  <c r="H36" i="8"/>
  <c r="I37" i="8"/>
  <c r="H37" i="8"/>
  <c r="G28" i="15"/>
  <c r="G29" i="15" s="1"/>
  <c r="I38" i="8"/>
  <c r="B39" i="8"/>
  <c r="AE38" i="8"/>
  <c r="H38" i="8"/>
  <c r="J38" i="8"/>
  <c r="F62" i="14"/>
  <c r="E76" i="14"/>
  <c r="E27" i="15"/>
  <c r="H28" i="15"/>
  <c r="H29" i="15" s="1"/>
  <c r="D28" i="15"/>
  <c r="D29" i="15" s="1"/>
  <c r="I28" i="15"/>
  <c r="I29" i="15" s="1"/>
  <c r="I27" i="15"/>
  <c r="F42" i="14"/>
  <c r="E50" i="14"/>
  <c r="E52" i="14"/>
  <c r="E47" i="14"/>
  <c r="E59" i="14"/>
  <c r="E57" i="14"/>
  <c r="E48" i="14"/>
  <c r="E46" i="14"/>
  <c r="E54" i="14"/>
  <c r="E58" i="14"/>
  <c r="E56" i="14"/>
  <c r="E53" i="14"/>
  <c r="E45" i="14"/>
  <c r="E49" i="14"/>
  <c r="E55" i="14"/>
  <c r="E51" i="14"/>
  <c r="T34" i="9" l="1"/>
  <c r="D102" i="9"/>
  <c r="F102" i="9" s="1"/>
  <c r="D103" i="9"/>
  <c r="N38" i="8"/>
  <c r="D37" i="8"/>
  <c r="E37" i="8" s="1"/>
  <c r="E36" i="8"/>
  <c r="F17" i="8"/>
  <c r="Q39" i="8"/>
  <c r="C39" i="8"/>
  <c r="G39" i="8" s="1"/>
  <c r="F36" i="8"/>
  <c r="T24" i="9"/>
  <c r="N37" i="8"/>
  <c r="AF37" i="8" s="1"/>
  <c r="AF38" i="8" s="1"/>
  <c r="X37" i="8"/>
  <c r="T74" i="9"/>
  <c r="D38" i="8"/>
  <c r="E38" i="8" s="1"/>
  <c r="F16" i="8"/>
  <c r="M39" i="8"/>
  <c r="F67" i="14"/>
  <c r="Z39" i="8"/>
  <c r="AE39" i="8"/>
  <c r="R39" i="8"/>
  <c r="Y39" i="8"/>
  <c r="AH39" i="8"/>
  <c r="AD39" i="8"/>
  <c r="B40" i="8"/>
  <c r="I39" i="8"/>
  <c r="J39" i="8"/>
  <c r="H39" i="8"/>
  <c r="F76" i="14"/>
  <c r="G62" i="14"/>
  <c r="F56" i="14"/>
  <c r="F58" i="14"/>
  <c r="F50" i="14"/>
  <c r="F51" i="14"/>
  <c r="F49" i="14"/>
  <c r="G42" i="14"/>
  <c r="F48" i="14"/>
  <c r="F45" i="14"/>
  <c r="F47" i="14"/>
  <c r="F57" i="14"/>
  <c r="F59" i="14"/>
  <c r="F54" i="14"/>
  <c r="F55" i="14"/>
  <c r="F52" i="14"/>
  <c r="F46" i="14"/>
  <c r="F53" i="14"/>
  <c r="F103" i="9" l="1"/>
  <c r="F105" i="9" s="1"/>
  <c r="D105" i="9"/>
  <c r="F37" i="8"/>
  <c r="O37" i="8" s="1"/>
  <c r="O36" i="8"/>
  <c r="F15" i="8"/>
  <c r="G15" i="8" s="1"/>
  <c r="G24" i="8" s="1"/>
  <c r="P40" i="8" s="1"/>
  <c r="C40" i="8"/>
  <c r="G40" i="8" s="1"/>
  <c r="F38" i="8"/>
  <c r="T13" i="9"/>
  <c r="C13" i="9" s="1"/>
  <c r="D12" i="8" s="1"/>
  <c r="X39" i="8"/>
  <c r="N39" i="8"/>
  <c r="AF39" i="8" s="1"/>
  <c r="D39" i="8"/>
  <c r="M40" i="8"/>
  <c r="G67" i="14"/>
  <c r="Z40" i="8"/>
  <c r="Y40" i="8"/>
  <c r="R40" i="8"/>
  <c r="AD40" i="8"/>
  <c r="AH40" i="8"/>
  <c r="H40" i="8"/>
  <c r="J40" i="8"/>
  <c r="AE40" i="8"/>
  <c r="Q40" i="8"/>
  <c r="B41" i="8"/>
  <c r="I40" i="8"/>
  <c r="G76" i="14"/>
  <c r="H62" i="14"/>
  <c r="G55" i="14"/>
  <c r="H42" i="14"/>
  <c r="G45" i="14"/>
  <c r="G47" i="14"/>
  <c r="G59" i="14"/>
  <c r="G51" i="14"/>
  <c r="G56" i="14"/>
  <c r="G53" i="14"/>
  <c r="G52" i="14"/>
  <c r="G58" i="14"/>
  <c r="G49" i="14"/>
  <c r="G46" i="14"/>
  <c r="G50" i="14"/>
  <c r="G57" i="14"/>
  <c r="G54" i="14"/>
  <c r="G48" i="14"/>
  <c r="F39" i="8" l="1"/>
  <c r="E39" i="8"/>
  <c r="C41" i="8"/>
  <c r="G41" i="8" s="1"/>
  <c r="P41" i="8"/>
  <c r="P36" i="8"/>
  <c r="U36" i="8" s="1"/>
  <c r="AA36" i="8" s="1"/>
  <c r="AB36" i="8" s="1"/>
  <c r="P38" i="8"/>
  <c r="U38" i="8" s="1"/>
  <c r="P37" i="8"/>
  <c r="U37" i="8" s="1"/>
  <c r="V37" i="8" s="1"/>
  <c r="AJ37" i="8" s="1"/>
  <c r="P39" i="8"/>
  <c r="U39" i="8" s="1"/>
  <c r="C12" i="16"/>
  <c r="O38" i="8"/>
  <c r="X40" i="8"/>
  <c r="N40" i="8"/>
  <c r="AF40" i="8" s="1"/>
  <c r="D40" i="8"/>
  <c r="M41" i="8"/>
  <c r="H67" i="14"/>
  <c r="Z41" i="8"/>
  <c r="U40" i="8"/>
  <c r="H41" i="8"/>
  <c r="Y41" i="8"/>
  <c r="R41" i="8"/>
  <c r="J41" i="8"/>
  <c r="B42" i="8"/>
  <c r="AE41" i="8"/>
  <c r="Q41" i="8"/>
  <c r="AH41" i="8"/>
  <c r="I41" i="8"/>
  <c r="AD41" i="8"/>
  <c r="H76" i="14"/>
  <c r="I62" i="14"/>
  <c r="AH42" i="8"/>
  <c r="H49" i="14"/>
  <c r="H59" i="14"/>
  <c r="H54" i="14"/>
  <c r="H45" i="14"/>
  <c r="H47" i="14"/>
  <c r="I42" i="14"/>
  <c r="H51" i="14"/>
  <c r="H58" i="14"/>
  <c r="H48" i="14"/>
  <c r="H57" i="14"/>
  <c r="H46" i="14"/>
  <c r="H56" i="14"/>
  <c r="H52" i="14"/>
  <c r="H53" i="14"/>
  <c r="H50" i="14"/>
  <c r="H55" i="14"/>
  <c r="V36" i="8" l="1"/>
  <c r="W36" i="8" s="1"/>
  <c r="W37" i="8" s="1"/>
  <c r="AI37" i="8"/>
  <c r="C42" i="8"/>
  <c r="G42" i="8" s="1"/>
  <c r="P42" i="8"/>
  <c r="AA37" i="8"/>
  <c r="AB37" i="8" s="1"/>
  <c r="AA38" i="8"/>
  <c r="E40" i="8"/>
  <c r="F40" i="8"/>
  <c r="V38" i="8"/>
  <c r="O39" i="8"/>
  <c r="AA39" i="8" s="1"/>
  <c r="N41" i="8"/>
  <c r="AF41" i="8" s="1"/>
  <c r="X41" i="8"/>
  <c r="Q42" i="8"/>
  <c r="D41" i="8"/>
  <c r="I42" i="8"/>
  <c r="M42" i="8"/>
  <c r="B43" i="8"/>
  <c r="H42" i="8"/>
  <c r="I67" i="14"/>
  <c r="AE42" i="8"/>
  <c r="J42" i="8"/>
  <c r="Z42" i="8"/>
  <c r="U41" i="8"/>
  <c r="R42" i="8"/>
  <c r="Y42" i="8"/>
  <c r="AD42" i="8"/>
  <c r="J62" i="14"/>
  <c r="I76" i="14"/>
  <c r="I59" i="14"/>
  <c r="J42" i="14"/>
  <c r="I47" i="14"/>
  <c r="I49" i="14"/>
  <c r="I51" i="14"/>
  <c r="I45" i="14"/>
  <c r="I46" i="14"/>
  <c r="I55" i="14"/>
  <c r="I53" i="14"/>
  <c r="I52" i="14"/>
  <c r="I57" i="14"/>
  <c r="I58" i="14"/>
  <c r="I48" i="14"/>
  <c r="I50" i="14"/>
  <c r="I54" i="14"/>
  <c r="I56" i="14"/>
  <c r="W38" i="8" l="1"/>
  <c r="AI38" i="8"/>
  <c r="AJ38" i="8"/>
  <c r="AI36" i="8"/>
  <c r="AG36" i="8" s="1"/>
  <c r="AJ36" i="8"/>
  <c r="E41" i="8"/>
  <c r="F41" i="8"/>
  <c r="R43" i="8"/>
  <c r="C43" i="8"/>
  <c r="G43" i="8" s="1"/>
  <c r="P43" i="8"/>
  <c r="V39" i="8"/>
  <c r="O40" i="8"/>
  <c r="AA40" i="8" s="1"/>
  <c r="N42" i="8"/>
  <c r="AF42" i="8" s="1"/>
  <c r="X42" i="8"/>
  <c r="Q43" i="8"/>
  <c r="J43" i="8"/>
  <c r="I43" i="8"/>
  <c r="Y43" i="8"/>
  <c r="Z43" i="8"/>
  <c r="D42" i="8"/>
  <c r="AE43" i="8"/>
  <c r="B44" i="8"/>
  <c r="AE44" i="8" s="1"/>
  <c r="AD43" i="8"/>
  <c r="AH43" i="8"/>
  <c r="H43" i="8"/>
  <c r="M43" i="8"/>
  <c r="J67" i="14"/>
  <c r="U42" i="8"/>
  <c r="K62" i="14"/>
  <c r="J76" i="14"/>
  <c r="AB38" i="8"/>
  <c r="Q44" i="8"/>
  <c r="J49" i="14"/>
  <c r="K42" i="14"/>
  <c r="J48" i="14"/>
  <c r="J51" i="14"/>
  <c r="J52" i="14"/>
  <c r="J58" i="14"/>
  <c r="J54" i="14"/>
  <c r="J46" i="14"/>
  <c r="J55" i="14"/>
  <c r="J53" i="14"/>
  <c r="J50" i="14"/>
  <c r="J57" i="14"/>
  <c r="J56" i="14"/>
  <c r="J59" i="14"/>
  <c r="J45" i="14"/>
  <c r="J47" i="14"/>
  <c r="AG38" i="8" l="1"/>
  <c r="AG37" i="8"/>
  <c r="AI39" i="8"/>
  <c r="AG39" i="8" s="1"/>
  <c r="AJ39" i="8"/>
  <c r="U43" i="8"/>
  <c r="O41" i="8"/>
  <c r="AA41" i="8" s="1"/>
  <c r="F42" i="8"/>
  <c r="E42" i="8"/>
  <c r="M44" i="8"/>
  <c r="C44" i="8"/>
  <c r="G44" i="8" s="1"/>
  <c r="P44" i="8"/>
  <c r="W39" i="8"/>
  <c r="V40" i="8"/>
  <c r="J44" i="8"/>
  <c r="B45" i="8"/>
  <c r="R45" i="8" s="1"/>
  <c r="AD44" i="8"/>
  <c r="X44" i="8" s="1"/>
  <c r="X43" i="8"/>
  <c r="N43" i="8"/>
  <c r="AF43" i="8" s="1"/>
  <c r="AH44" i="8"/>
  <c r="H44" i="8"/>
  <c r="R44" i="8"/>
  <c r="I44" i="8"/>
  <c r="Y44" i="8"/>
  <c r="Z44" i="8"/>
  <c r="D43" i="8"/>
  <c r="M45" i="8"/>
  <c r="K67" i="14"/>
  <c r="Z45" i="8"/>
  <c r="L62" i="14"/>
  <c r="K76" i="14"/>
  <c r="AB39" i="8"/>
  <c r="K49" i="14"/>
  <c r="K50" i="14"/>
  <c r="K46" i="14"/>
  <c r="K56" i="14"/>
  <c r="K54" i="14"/>
  <c r="K45" i="14"/>
  <c r="K59" i="14"/>
  <c r="K55" i="14"/>
  <c r="L42" i="14"/>
  <c r="K47" i="14"/>
  <c r="K52" i="14"/>
  <c r="K51" i="14"/>
  <c r="K53" i="14"/>
  <c r="K57" i="14"/>
  <c r="K48" i="14"/>
  <c r="K58" i="14"/>
  <c r="B46" i="8"/>
  <c r="Q45" i="8"/>
  <c r="AH45" i="8"/>
  <c r="I45" i="8" l="1"/>
  <c r="H45" i="8"/>
  <c r="J45" i="8"/>
  <c r="AE45" i="8"/>
  <c r="Y45" i="8"/>
  <c r="O42" i="8"/>
  <c r="AA42" i="8" s="1"/>
  <c r="AD45" i="8"/>
  <c r="X45" i="8" s="1"/>
  <c r="AI40" i="8"/>
  <c r="AG40" i="8" s="1"/>
  <c r="AJ40" i="8"/>
  <c r="U44" i="8"/>
  <c r="V41" i="8"/>
  <c r="C46" i="8"/>
  <c r="G46" i="8" s="1"/>
  <c r="P46" i="8"/>
  <c r="E43" i="8"/>
  <c r="F43" i="8"/>
  <c r="C45" i="8"/>
  <c r="G45" i="8" s="1"/>
  <c r="P45" i="8"/>
  <c r="U45" i="8" s="1"/>
  <c r="D44" i="8"/>
  <c r="W40" i="8"/>
  <c r="N44" i="8"/>
  <c r="AF44" i="8" s="1"/>
  <c r="M46" i="8"/>
  <c r="L67" i="14"/>
  <c r="Z46" i="8"/>
  <c r="R46" i="8"/>
  <c r="Y46" i="8"/>
  <c r="M62" i="14"/>
  <c r="L76" i="14"/>
  <c r="AE46" i="8"/>
  <c r="H46" i="8"/>
  <c r="I46" i="8"/>
  <c r="AB40" i="8"/>
  <c r="B47" i="8"/>
  <c r="AH46" i="8"/>
  <c r="J46" i="8"/>
  <c r="AD46" i="8"/>
  <c r="Q46" i="8"/>
  <c r="L49" i="14"/>
  <c r="M42" i="14"/>
  <c r="L52" i="14"/>
  <c r="L50" i="14"/>
  <c r="L45" i="14"/>
  <c r="L47" i="14"/>
  <c r="L58" i="14"/>
  <c r="L55" i="14"/>
  <c r="L51" i="14"/>
  <c r="L48" i="14"/>
  <c r="L54" i="14"/>
  <c r="L56" i="14"/>
  <c r="L53" i="14"/>
  <c r="L46" i="14"/>
  <c r="L59" i="14"/>
  <c r="L57" i="14"/>
  <c r="N45" i="8" l="1"/>
  <c r="AF45" i="8" s="1"/>
  <c r="W41" i="8"/>
  <c r="V42" i="8"/>
  <c r="AI41" i="8"/>
  <c r="AG41" i="8" s="1"/>
  <c r="AJ41" i="8"/>
  <c r="O43" i="8"/>
  <c r="AA43" i="8" s="1"/>
  <c r="D45" i="8"/>
  <c r="F44" i="8"/>
  <c r="E44" i="8"/>
  <c r="C47" i="8"/>
  <c r="G47" i="8" s="1"/>
  <c r="P47" i="8"/>
  <c r="N46" i="8"/>
  <c r="X46" i="8"/>
  <c r="M47" i="8"/>
  <c r="M67" i="14"/>
  <c r="Z47" i="8"/>
  <c r="R47" i="8"/>
  <c r="Y47" i="8"/>
  <c r="U46" i="8"/>
  <c r="N62" i="14"/>
  <c r="M76" i="14"/>
  <c r="AE47" i="8"/>
  <c r="I47" i="8"/>
  <c r="H47" i="8"/>
  <c r="AB41" i="8"/>
  <c r="Q47" i="8"/>
  <c r="AD47" i="8"/>
  <c r="J47" i="8"/>
  <c r="B48" i="8"/>
  <c r="AH47" i="8"/>
  <c r="M49" i="14"/>
  <c r="N42" i="14"/>
  <c r="M47" i="14"/>
  <c r="M56" i="14"/>
  <c r="M58" i="14"/>
  <c r="M51" i="14"/>
  <c r="M57" i="14"/>
  <c r="M45" i="14"/>
  <c r="M55" i="14"/>
  <c r="M59" i="14"/>
  <c r="M50" i="14"/>
  <c r="M52" i="14"/>
  <c r="M48" i="14"/>
  <c r="M46" i="14"/>
  <c r="M54" i="14"/>
  <c r="M53" i="14"/>
  <c r="D46" i="8"/>
  <c r="W42" i="8" l="1"/>
  <c r="AJ42" i="8"/>
  <c r="AI42" i="8"/>
  <c r="AG42" i="8" s="1"/>
  <c r="V43" i="8"/>
  <c r="AI43" i="8" s="1"/>
  <c r="AF46" i="8"/>
  <c r="O44" i="8"/>
  <c r="AA44" i="8" s="1"/>
  <c r="C48" i="8"/>
  <c r="G48" i="8" s="1"/>
  <c r="P48" i="8"/>
  <c r="F46" i="8"/>
  <c r="E46" i="8"/>
  <c r="E45" i="8"/>
  <c r="F45" i="8"/>
  <c r="X47" i="8"/>
  <c r="N47" i="8"/>
  <c r="M48" i="8"/>
  <c r="D79" i="14"/>
  <c r="D65" i="14"/>
  <c r="D66" i="14" s="1"/>
  <c r="E79" i="14"/>
  <c r="E65" i="14"/>
  <c r="E66" i="14" s="1"/>
  <c r="F65" i="14"/>
  <c r="F66" i="14" s="1"/>
  <c r="F79" i="14"/>
  <c r="G65" i="14"/>
  <c r="G66" i="14" s="1"/>
  <c r="G79" i="14"/>
  <c r="H79" i="14"/>
  <c r="H65" i="14"/>
  <c r="H66" i="14" s="1"/>
  <c r="I79" i="14"/>
  <c r="I65" i="14"/>
  <c r="I66" i="14" s="1"/>
  <c r="J65" i="14"/>
  <c r="J66" i="14" s="1"/>
  <c r="J79" i="14"/>
  <c r="K65" i="14"/>
  <c r="K66" i="14" s="1"/>
  <c r="K79" i="14"/>
  <c r="L65" i="14"/>
  <c r="L66" i="14" s="1"/>
  <c r="L79" i="14"/>
  <c r="N65" i="14"/>
  <c r="N66" i="14" s="1"/>
  <c r="N67" i="14"/>
  <c r="N79" i="14"/>
  <c r="M65" i="14"/>
  <c r="M66" i="14" s="1"/>
  <c r="M79" i="14"/>
  <c r="Z48" i="8"/>
  <c r="Y48" i="8"/>
  <c r="R48" i="8"/>
  <c r="F75" i="14"/>
  <c r="U47" i="8"/>
  <c r="N80" i="14"/>
  <c r="O62" i="14"/>
  <c r="O75" i="14" s="1"/>
  <c r="N76" i="14"/>
  <c r="AE48" i="8"/>
  <c r="D80" i="14"/>
  <c r="H48" i="8"/>
  <c r="I48" i="8"/>
  <c r="E80" i="14"/>
  <c r="F80" i="14"/>
  <c r="G80" i="14"/>
  <c r="H80" i="14"/>
  <c r="I80" i="14"/>
  <c r="J80" i="14"/>
  <c r="K80" i="14"/>
  <c r="L80" i="14"/>
  <c r="M80" i="14"/>
  <c r="AB42" i="8"/>
  <c r="O42" i="14"/>
  <c r="N48" i="14"/>
  <c r="N45" i="14"/>
  <c r="N47" i="14"/>
  <c r="N49" i="14"/>
  <c r="N59" i="14"/>
  <c r="N53" i="14"/>
  <c r="N54" i="14"/>
  <c r="N46" i="14"/>
  <c r="N58" i="14"/>
  <c r="N50" i="14"/>
  <c r="N51" i="14"/>
  <c r="N56" i="14"/>
  <c r="N55" i="14"/>
  <c r="N57" i="14"/>
  <c r="N52" i="14"/>
  <c r="AH48" i="8"/>
  <c r="AD48" i="8"/>
  <c r="E75" i="14"/>
  <c r="E70" i="14"/>
  <c r="D74" i="14"/>
  <c r="Q48" i="8"/>
  <c r="D70" i="14"/>
  <c r="F74" i="14"/>
  <c r="J48" i="8"/>
  <c r="B49" i="8"/>
  <c r="E69" i="14"/>
  <c r="D69" i="14"/>
  <c r="F69" i="14"/>
  <c r="E74" i="14"/>
  <c r="F70" i="14"/>
  <c r="D75" i="14"/>
  <c r="G70" i="14"/>
  <c r="G69" i="14"/>
  <c r="G74" i="14"/>
  <c r="G75" i="14"/>
  <c r="H75" i="14"/>
  <c r="H70" i="14"/>
  <c r="H69" i="14"/>
  <c r="H74" i="14"/>
  <c r="I75" i="14"/>
  <c r="I70" i="14"/>
  <c r="I69" i="14"/>
  <c r="I74" i="14"/>
  <c r="J75" i="14"/>
  <c r="J74" i="14"/>
  <c r="J70" i="14"/>
  <c r="J69" i="14"/>
  <c r="K75" i="14"/>
  <c r="K74" i="14"/>
  <c r="K69" i="14"/>
  <c r="K70" i="14"/>
  <c r="L74" i="14"/>
  <c r="L70" i="14"/>
  <c r="L75" i="14"/>
  <c r="L69" i="14"/>
  <c r="M74" i="14"/>
  <c r="M75" i="14"/>
  <c r="M69" i="14"/>
  <c r="N75" i="14"/>
  <c r="N69" i="14"/>
  <c r="N74" i="14"/>
  <c r="D47" i="8"/>
  <c r="W43" i="8" l="1"/>
  <c r="AJ43" i="8"/>
  <c r="AG43" i="8"/>
  <c r="AF47" i="8"/>
  <c r="V44" i="8"/>
  <c r="M70" i="14"/>
  <c r="E47" i="8"/>
  <c r="F47" i="8"/>
  <c r="O45" i="8"/>
  <c r="AA45" i="8" s="1"/>
  <c r="C49" i="8"/>
  <c r="G49" i="8" s="1"/>
  <c r="P49" i="8"/>
  <c r="O74" i="14"/>
  <c r="O46" i="8"/>
  <c r="X48" i="8"/>
  <c r="N48" i="8"/>
  <c r="M49" i="8"/>
  <c r="O65" i="14"/>
  <c r="O66" i="14" s="1"/>
  <c r="O67" i="14"/>
  <c r="O79" i="14"/>
  <c r="Z49" i="8"/>
  <c r="N70" i="14"/>
  <c r="Y49" i="8"/>
  <c r="R49" i="8"/>
  <c r="O69" i="14"/>
  <c r="U48" i="8"/>
  <c r="O80" i="14"/>
  <c r="P62" i="14"/>
  <c r="O76" i="14"/>
  <c r="AE49" i="8"/>
  <c r="I49" i="8"/>
  <c r="H49" i="8"/>
  <c r="AB43" i="8"/>
  <c r="O54" i="14"/>
  <c r="P42" i="14"/>
  <c r="O49" i="14"/>
  <c r="O46" i="14"/>
  <c r="O51" i="14"/>
  <c r="O50" i="14"/>
  <c r="O58" i="14"/>
  <c r="O56" i="14"/>
  <c r="O48" i="14"/>
  <c r="O47" i="14"/>
  <c r="O55" i="14"/>
  <c r="O53" i="14"/>
  <c r="O59" i="14"/>
  <c r="O57" i="14"/>
  <c r="O45" i="14"/>
  <c r="O52" i="14"/>
  <c r="D48" i="8"/>
  <c r="J49" i="8"/>
  <c r="B50" i="8"/>
  <c r="AH49" i="8"/>
  <c r="AD49" i="8"/>
  <c r="Q49" i="8"/>
  <c r="W44" i="8" l="1"/>
  <c r="AF48" i="8"/>
  <c r="V45" i="8"/>
  <c r="AI45" i="8" s="1"/>
  <c r="AI44" i="8"/>
  <c r="AG44" i="8" s="1"/>
  <c r="AJ44" i="8"/>
  <c r="C50" i="8"/>
  <c r="G50" i="8" s="1"/>
  <c r="P50" i="8"/>
  <c r="F48" i="8"/>
  <c r="E48" i="8"/>
  <c r="O47" i="8"/>
  <c r="AA47" i="8" s="1"/>
  <c r="N49" i="8"/>
  <c r="X49" i="8"/>
  <c r="M50" i="8"/>
  <c r="P67" i="14"/>
  <c r="P79" i="14"/>
  <c r="P65" i="14"/>
  <c r="P66" i="14" s="1"/>
  <c r="V46" i="8"/>
  <c r="AA46" i="8"/>
  <c r="Z50" i="8"/>
  <c r="R50" i="8"/>
  <c r="Y50" i="8"/>
  <c r="P75" i="14"/>
  <c r="U49" i="8"/>
  <c r="P74" i="14"/>
  <c r="AE50" i="8"/>
  <c r="H50" i="8"/>
  <c r="I50" i="8"/>
  <c r="P80" i="14"/>
  <c r="P76" i="14"/>
  <c r="P69" i="14"/>
  <c r="Q62" i="14"/>
  <c r="AB44" i="8"/>
  <c r="O70" i="14"/>
  <c r="AH50" i="8"/>
  <c r="AD50" i="8"/>
  <c r="B51" i="8"/>
  <c r="Q50" i="8"/>
  <c r="J50" i="8"/>
  <c r="D49" i="8"/>
  <c r="P46" i="14"/>
  <c r="P59" i="14"/>
  <c r="P55" i="14"/>
  <c r="P56" i="14"/>
  <c r="P47" i="14"/>
  <c r="P53" i="14"/>
  <c r="P50" i="14"/>
  <c r="P58" i="14"/>
  <c r="P52" i="14"/>
  <c r="Q42" i="14"/>
  <c r="P51" i="14"/>
  <c r="P57" i="14"/>
  <c r="P49" i="14"/>
  <c r="P48" i="14"/>
  <c r="P54" i="14"/>
  <c r="P45" i="14"/>
  <c r="AF49" i="8" l="1"/>
  <c r="W45" i="8"/>
  <c r="W46" i="8" s="1"/>
  <c r="AJ45" i="8"/>
  <c r="AI46" i="8"/>
  <c r="AJ46" i="8"/>
  <c r="AG45" i="8"/>
  <c r="C51" i="8"/>
  <c r="G51" i="8" s="1"/>
  <c r="P51" i="8"/>
  <c r="F49" i="8"/>
  <c r="E49" i="8"/>
  <c r="O48" i="8"/>
  <c r="AA48" i="8" s="1"/>
  <c r="N50" i="8"/>
  <c r="X50" i="8"/>
  <c r="M51" i="8"/>
  <c r="Q67" i="14"/>
  <c r="Z51" i="8"/>
  <c r="R51" i="8"/>
  <c r="Y51" i="8"/>
  <c r="V47" i="8"/>
  <c r="U50" i="8"/>
  <c r="AE51" i="8"/>
  <c r="I51" i="8"/>
  <c r="H51" i="8"/>
  <c r="R62" i="14"/>
  <c r="Q76" i="14"/>
  <c r="AB45" i="8"/>
  <c r="AB46" i="8" s="1"/>
  <c r="P70" i="14"/>
  <c r="Q49" i="14"/>
  <c r="Q53" i="14"/>
  <c r="Q59" i="14"/>
  <c r="Q57" i="14"/>
  <c r="Q58" i="14"/>
  <c r="Q46" i="14"/>
  <c r="Q54" i="14"/>
  <c r="Q45" i="14"/>
  <c r="Q51" i="14"/>
  <c r="R42" i="14"/>
  <c r="Q47" i="14"/>
  <c r="Q50" i="14"/>
  <c r="Q48" i="14"/>
  <c r="Q52" i="14"/>
  <c r="Q55" i="14"/>
  <c r="Q56" i="14"/>
  <c r="Q51" i="8"/>
  <c r="AD51" i="8"/>
  <c r="J51" i="8"/>
  <c r="AH51" i="8"/>
  <c r="B52" i="8"/>
  <c r="D50" i="8"/>
  <c r="AF50" i="8" l="1"/>
  <c r="AG46" i="8"/>
  <c r="AI47" i="8"/>
  <c r="AG47" i="8" s="1"/>
  <c r="AJ47" i="8"/>
  <c r="C52" i="8"/>
  <c r="G52" i="8" s="1"/>
  <c r="P52" i="8"/>
  <c r="E50" i="8"/>
  <c r="F50" i="8"/>
  <c r="O49" i="8"/>
  <c r="AA49" i="8" s="1"/>
  <c r="X51" i="8"/>
  <c r="N51" i="8"/>
  <c r="AF51" i="8" s="1"/>
  <c r="M52" i="8"/>
  <c r="W47" i="8"/>
  <c r="R67" i="14"/>
  <c r="Z52" i="8"/>
  <c r="Y52" i="8"/>
  <c r="R52" i="8"/>
  <c r="V48" i="8"/>
  <c r="U51" i="8"/>
  <c r="R76" i="14"/>
  <c r="S62" i="14"/>
  <c r="AE52" i="8"/>
  <c r="I52" i="8"/>
  <c r="H52" i="8"/>
  <c r="AB47" i="8"/>
  <c r="D51" i="8"/>
  <c r="R58" i="14"/>
  <c r="R56" i="14"/>
  <c r="R52" i="14"/>
  <c r="R51" i="14"/>
  <c r="R55" i="14"/>
  <c r="R47" i="14"/>
  <c r="R57" i="14"/>
  <c r="R50" i="14"/>
  <c r="S42" i="14"/>
  <c r="R48" i="14"/>
  <c r="R49" i="14"/>
  <c r="R45" i="14"/>
  <c r="R59" i="14"/>
  <c r="R53" i="14"/>
  <c r="R46" i="14"/>
  <c r="R54" i="14"/>
  <c r="B53" i="8"/>
  <c r="AH52" i="8"/>
  <c r="Q52" i="8"/>
  <c r="AD52" i="8"/>
  <c r="J52" i="8"/>
  <c r="AI48" i="8" l="1"/>
  <c r="AG48" i="8" s="1"/>
  <c r="AJ48" i="8"/>
  <c r="C53" i="8"/>
  <c r="G53" i="8" s="1"/>
  <c r="P53" i="8"/>
  <c r="F51" i="8"/>
  <c r="E51" i="8"/>
  <c r="O50" i="8"/>
  <c r="AA50" i="8" s="1"/>
  <c r="X52" i="8"/>
  <c r="N52" i="8"/>
  <c r="AF52" i="8" s="1"/>
  <c r="M53" i="8"/>
  <c r="W48" i="8"/>
  <c r="S67" i="14"/>
  <c r="Z53" i="8"/>
  <c r="AB48" i="8"/>
  <c r="Y53" i="8"/>
  <c r="R53" i="8"/>
  <c r="V49" i="8"/>
  <c r="U52" i="8"/>
  <c r="S76" i="14"/>
  <c r="T62" i="14"/>
  <c r="AE53" i="8"/>
  <c r="I53" i="8"/>
  <c r="H53" i="8"/>
  <c r="S47" i="14"/>
  <c r="S56" i="14"/>
  <c r="S52" i="14"/>
  <c r="S48" i="14"/>
  <c r="S57" i="14"/>
  <c r="S59" i="14"/>
  <c r="S49" i="14"/>
  <c r="S45" i="14"/>
  <c r="S58" i="14"/>
  <c r="S54" i="14"/>
  <c r="S50" i="14"/>
  <c r="S46" i="14"/>
  <c r="S53" i="14"/>
  <c r="S55" i="14"/>
  <c r="S51" i="14"/>
  <c r="D52" i="8"/>
  <c r="AH53" i="8"/>
  <c r="AD53" i="8"/>
  <c r="Q53" i="8"/>
  <c r="B54" i="8"/>
  <c r="J53" i="8"/>
  <c r="AI49" i="8" l="1"/>
  <c r="AG49" i="8" s="1"/>
  <c r="AJ49" i="8"/>
  <c r="C54" i="8"/>
  <c r="G54" i="8" s="1"/>
  <c r="P54" i="8"/>
  <c r="E52" i="8"/>
  <c r="F52" i="8"/>
  <c r="O51" i="8"/>
  <c r="AA51" i="8" s="1"/>
  <c r="N53" i="8"/>
  <c r="AF53" i="8" s="1"/>
  <c r="X53" i="8"/>
  <c r="S65" i="14"/>
  <c r="S66" i="14" s="1"/>
  <c r="W49" i="8"/>
  <c r="S79" i="14"/>
  <c r="M54" i="8"/>
  <c r="Q79" i="14"/>
  <c r="Q65" i="14"/>
  <c r="Q66" i="14" s="1"/>
  <c r="R65" i="14"/>
  <c r="R66" i="14" s="1"/>
  <c r="R79" i="14"/>
  <c r="T67" i="14"/>
  <c r="T79" i="14"/>
  <c r="T65" i="14"/>
  <c r="T66" i="14" s="1"/>
  <c r="Z54" i="8"/>
  <c r="AB49" i="8"/>
  <c r="AB50" i="8" s="1"/>
  <c r="R54" i="8"/>
  <c r="Y54" i="8"/>
  <c r="V50" i="8"/>
  <c r="U53" i="8"/>
  <c r="AE54" i="8"/>
  <c r="H54" i="8"/>
  <c r="I54" i="8"/>
  <c r="Q80" i="14"/>
  <c r="R80" i="14"/>
  <c r="T80" i="14"/>
  <c r="T76" i="14"/>
  <c r="U62" i="14"/>
  <c r="U74" i="14" s="1"/>
  <c r="S80" i="14"/>
  <c r="D53" i="8"/>
  <c r="AH54" i="8"/>
  <c r="AD54" i="8"/>
  <c r="J54" i="8"/>
  <c r="Q54" i="8"/>
  <c r="B55" i="8"/>
  <c r="Q70" i="14"/>
  <c r="Q74" i="14"/>
  <c r="Q75" i="14"/>
  <c r="Q69" i="14"/>
  <c r="R70" i="14"/>
  <c r="R75" i="14"/>
  <c r="R69" i="14"/>
  <c r="R74" i="14"/>
  <c r="S75" i="14"/>
  <c r="S74" i="14"/>
  <c r="S69" i="14"/>
  <c r="S70" i="14"/>
  <c r="T74" i="14"/>
  <c r="T69" i="14"/>
  <c r="T75" i="14"/>
  <c r="O52" i="8" l="1"/>
  <c r="AA52" i="8" s="1"/>
  <c r="AI50" i="8"/>
  <c r="AG50" i="8" s="1"/>
  <c r="AJ50" i="8"/>
  <c r="F53" i="8"/>
  <c r="E53" i="8"/>
  <c r="C55" i="8"/>
  <c r="G55" i="8" s="1"/>
  <c r="P55" i="8"/>
  <c r="N54" i="8"/>
  <c r="AF54" i="8" s="1"/>
  <c r="X54" i="8"/>
  <c r="M55" i="8"/>
  <c r="W50" i="8"/>
  <c r="U79" i="14"/>
  <c r="U67" i="14"/>
  <c r="U65" i="14"/>
  <c r="U66" i="14" s="1"/>
  <c r="Z55" i="8"/>
  <c r="Y55" i="8"/>
  <c r="R55" i="8"/>
  <c r="V51" i="8"/>
  <c r="U75" i="14"/>
  <c r="V62" i="14"/>
  <c r="V74" i="14" s="1"/>
  <c r="U80" i="14"/>
  <c r="U76" i="14"/>
  <c r="AE55" i="8"/>
  <c r="H55" i="8"/>
  <c r="I55" i="8"/>
  <c r="U69" i="14"/>
  <c r="U54" i="8"/>
  <c r="T70" i="14"/>
  <c r="Q55" i="8"/>
  <c r="B56" i="8"/>
  <c r="AH55" i="8"/>
  <c r="AD55" i="8"/>
  <c r="J55" i="8"/>
  <c r="D54" i="8"/>
  <c r="O53" i="8" l="1"/>
  <c r="AA53" i="8" s="1"/>
  <c r="AI51" i="8"/>
  <c r="AG51" i="8" s="1"/>
  <c r="AJ51" i="8"/>
  <c r="V69" i="14"/>
  <c r="E54" i="8"/>
  <c r="F54" i="8"/>
  <c r="C56" i="8"/>
  <c r="G56" i="8" s="1"/>
  <c r="P56" i="8"/>
  <c r="X55" i="8"/>
  <c r="N55" i="8"/>
  <c r="AF55" i="8" s="1"/>
  <c r="M56" i="8"/>
  <c r="W51" i="8"/>
  <c r="V65" i="14"/>
  <c r="V66" i="14" s="1"/>
  <c r="V67" i="14"/>
  <c r="Z56" i="8"/>
  <c r="AB51" i="8"/>
  <c r="Y56" i="8"/>
  <c r="R56" i="8"/>
  <c r="V52" i="8"/>
  <c r="V75" i="14"/>
  <c r="U55" i="8"/>
  <c r="AE56" i="8"/>
  <c r="H56" i="8"/>
  <c r="I56" i="8"/>
  <c r="V76" i="14"/>
  <c r="U70" i="14"/>
  <c r="D55" i="8"/>
  <c r="AH56" i="8"/>
  <c r="AD56" i="8"/>
  <c r="B57" i="8"/>
  <c r="J56" i="8"/>
  <c r="Q56" i="8"/>
  <c r="O54" i="8" l="1"/>
  <c r="AA54" i="8" s="1"/>
  <c r="AI52" i="8"/>
  <c r="AG52" i="8" s="1"/>
  <c r="AJ52" i="8"/>
  <c r="C57" i="8"/>
  <c r="G57" i="8" s="1"/>
  <c r="P57" i="8"/>
  <c r="F55" i="8"/>
  <c r="E55" i="8"/>
  <c r="X56" i="8"/>
  <c r="N56" i="8"/>
  <c r="AF56" i="8" s="1"/>
  <c r="W52" i="8"/>
  <c r="M57" i="8"/>
  <c r="Z57" i="8"/>
  <c r="AB52" i="8"/>
  <c r="Y57" i="8"/>
  <c r="R57" i="8"/>
  <c r="V53" i="8"/>
  <c r="U56" i="8"/>
  <c r="AE57" i="8"/>
  <c r="H57" i="8"/>
  <c r="I57" i="8"/>
  <c r="D56" i="8"/>
  <c r="Q57" i="8"/>
  <c r="B58" i="8"/>
  <c r="AH57" i="8"/>
  <c r="J57" i="8"/>
  <c r="AD57" i="8"/>
  <c r="V70" i="14"/>
  <c r="AI53" i="8" l="1"/>
  <c r="AG53" i="8" s="1"/>
  <c r="AJ53" i="8"/>
  <c r="C58" i="8"/>
  <c r="G58" i="8" s="1"/>
  <c r="P58" i="8"/>
  <c r="E56" i="8"/>
  <c r="F56" i="8"/>
  <c r="O55" i="8"/>
  <c r="AA55" i="8" s="1"/>
  <c r="N57" i="8"/>
  <c r="AF57" i="8" s="1"/>
  <c r="X57" i="8"/>
  <c r="M58" i="8"/>
  <c r="W53" i="8"/>
  <c r="Z58" i="8"/>
  <c r="U57" i="8"/>
  <c r="AB53" i="8"/>
  <c r="R58" i="8"/>
  <c r="Y58" i="8"/>
  <c r="V54" i="8"/>
  <c r="AE58" i="8"/>
  <c r="H58" i="8"/>
  <c r="I58" i="8"/>
  <c r="Q58" i="8"/>
  <c r="AH58" i="8"/>
  <c r="B59" i="8"/>
  <c r="J58" i="8"/>
  <c r="AD58" i="8"/>
  <c r="D57" i="8"/>
  <c r="AI54" i="8" l="1"/>
  <c r="AG54" i="8" s="1"/>
  <c r="AJ54" i="8"/>
  <c r="C59" i="8"/>
  <c r="G59" i="8" s="1"/>
  <c r="P59" i="8"/>
  <c r="E57" i="8"/>
  <c r="F57" i="8"/>
  <c r="O56" i="8"/>
  <c r="N58" i="8"/>
  <c r="AF58" i="8" s="1"/>
  <c r="X58" i="8"/>
  <c r="W54" i="8"/>
  <c r="M59" i="8"/>
  <c r="Z59" i="8"/>
  <c r="AB54" i="8"/>
  <c r="R59" i="8"/>
  <c r="Y59" i="8"/>
  <c r="V55" i="8"/>
  <c r="U58" i="8"/>
  <c r="AE59" i="8"/>
  <c r="H59" i="8"/>
  <c r="I59" i="8"/>
  <c r="D58" i="8"/>
  <c r="Q59" i="8"/>
  <c r="B60" i="8"/>
  <c r="AH59" i="8"/>
  <c r="J59" i="8"/>
  <c r="AD59" i="8"/>
  <c r="AI55" i="8" l="1"/>
  <c r="AG55" i="8" s="1"/>
  <c r="AJ55" i="8"/>
  <c r="F58" i="8"/>
  <c r="E58" i="8"/>
  <c r="C60" i="8"/>
  <c r="G60" i="8" s="1"/>
  <c r="P60" i="8"/>
  <c r="E38" i="16" s="1"/>
  <c r="O57" i="8"/>
  <c r="AA57" i="8" s="1"/>
  <c r="X59" i="8"/>
  <c r="N59" i="8"/>
  <c r="AF59" i="8" s="1"/>
  <c r="L22" i="16"/>
  <c r="M60" i="8"/>
  <c r="W55" i="8"/>
  <c r="V56" i="8"/>
  <c r="AA56" i="8"/>
  <c r="Z60" i="8"/>
  <c r="AB55" i="8"/>
  <c r="Y60" i="8"/>
  <c r="R60" i="8"/>
  <c r="F39" i="16" s="1"/>
  <c r="L3" i="16"/>
  <c r="U59" i="8"/>
  <c r="AE60" i="8"/>
  <c r="K23" i="16" s="1"/>
  <c r="I60" i="8"/>
  <c r="H60" i="8"/>
  <c r="D59" i="8"/>
  <c r="AH60" i="8"/>
  <c r="D39" i="16" s="1"/>
  <c r="J60" i="8"/>
  <c r="AD60" i="8"/>
  <c r="F32" i="16"/>
  <c r="Q60" i="8"/>
  <c r="D35" i="16" l="1"/>
  <c r="E39" i="16"/>
  <c r="E40" i="16" s="1"/>
  <c r="E35" i="16"/>
  <c r="AI56" i="8"/>
  <c r="AG56" i="8" s="1"/>
  <c r="AJ56" i="8"/>
  <c r="O58" i="8"/>
  <c r="AA58" i="8" s="1"/>
  <c r="E59" i="8"/>
  <c r="F59" i="8"/>
  <c r="L23" i="16"/>
  <c r="X60" i="8"/>
  <c r="N60" i="8"/>
  <c r="AF60" i="8" s="1"/>
  <c r="K24" i="16" s="1"/>
  <c r="F35" i="16"/>
  <c r="D61" i="14"/>
  <c r="L5" i="16"/>
  <c r="W56" i="8"/>
  <c r="J23" i="16"/>
  <c r="V57" i="8"/>
  <c r="I61" i="14"/>
  <c r="K61" i="14"/>
  <c r="M61" i="14"/>
  <c r="D38" i="16"/>
  <c r="K5" i="16"/>
  <c r="E61" i="14"/>
  <c r="H61" i="14"/>
  <c r="R61" i="14"/>
  <c r="Q61" i="14"/>
  <c r="J5" i="16"/>
  <c r="N61" i="14"/>
  <c r="O61" i="14"/>
  <c r="F61" i="14"/>
  <c r="G61" i="14"/>
  <c r="J61" i="14"/>
  <c r="L61" i="14"/>
  <c r="S61" i="14"/>
  <c r="P61" i="14"/>
  <c r="AB56" i="8"/>
  <c r="U60" i="8"/>
  <c r="F38" i="16"/>
  <c r="F40" i="16" s="1"/>
  <c r="D60" i="8"/>
  <c r="O59" i="8" l="1"/>
  <c r="AA59" i="8" s="1"/>
  <c r="AI57" i="8"/>
  <c r="AG57" i="8" s="1"/>
  <c r="AJ57" i="8"/>
  <c r="F60" i="8"/>
  <c r="E60" i="8"/>
  <c r="F36" i="16"/>
  <c r="J24" i="16"/>
  <c r="L24" i="16"/>
  <c r="V58" i="8"/>
  <c r="AJ58" i="8" s="1"/>
  <c r="W57" i="8"/>
  <c r="AB57" i="8"/>
  <c r="AB58" i="8" s="1"/>
  <c r="K4" i="16"/>
  <c r="J4" i="16"/>
  <c r="D40" i="16"/>
  <c r="O60" i="8" l="1"/>
  <c r="AI58" i="8"/>
  <c r="AG58" i="8" s="1"/>
  <c r="W58" i="8"/>
  <c r="AB59" i="8"/>
  <c r="V59" i="8"/>
  <c r="E34" i="16"/>
  <c r="D34" i="16"/>
  <c r="F34" i="16"/>
  <c r="F37" i="16" s="1"/>
  <c r="L6" i="16" l="1"/>
  <c r="J6" i="16"/>
  <c r="K6" i="16"/>
  <c r="AI59" i="8"/>
  <c r="AG59" i="8" s="1"/>
  <c r="AJ59" i="8"/>
  <c r="W59" i="8"/>
  <c r="V60" i="8"/>
  <c r="AA60" i="8"/>
  <c r="AI60" i="8" l="1"/>
  <c r="AG60" i="8" s="1"/>
  <c r="AJ60" i="8"/>
  <c r="W60" i="8"/>
  <c r="AB60" i="8"/>
  <c r="F29" i="8" s="1"/>
  <c r="I29" i="8" s="1"/>
  <c r="G30" i="16" s="1"/>
  <c r="D36" i="16" l="1"/>
  <c r="D37" i="16" s="1"/>
  <c r="E36" i="16"/>
  <c r="E37" i="16" s="1"/>
  <c r="D30" i="16"/>
  <c r="K25" i="16" l="1"/>
  <c r="L25" i="16"/>
  <c r="J25"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Steiner</author>
  </authors>
  <commentList>
    <comment ref="G15" authorId="0" shapeId="0" xr:uid="{00000000-0006-0000-0400-000001000000}">
      <text>
        <r>
          <rPr>
            <b/>
            <sz val="8"/>
            <color indexed="81"/>
            <rFont val="Tahoma"/>
            <family val="2"/>
          </rPr>
          <t>Gewichteter Mischindex aus allen Betriebskosten</t>
        </r>
      </text>
    </comment>
  </commentList>
</comments>
</file>

<file path=xl/sharedStrings.xml><?xml version="1.0" encoding="utf-8"?>
<sst xmlns="http://schemas.openxmlformats.org/spreadsheetml/2006/main" count="820" uniqueCount="577">
  <si>
    <t xml:space="preserve"> </t>
  </si>
  <si>
    <t>Förderung</t>
  </si>
  <si>
    <t>Erläuterung</t>
  </si>
  <si>
    <t>Einheiten</t>
  </si>
  <si>
    <t>Eingabefeld</t>
  </si>
  <si>
    <t>Warnung</t>
  </si>
  <si>
    <t>Warnungen:</t>
  </si>
  <si>
    <t>% der Wärmemenge</t>
  </si>
  <si>
    <t>Arbeitspreis</t>
  </si>
  <si>
    <t>Laufzeit des Kredits in Jahren</t>
  </si>
  <si>
    <t>Kreditzinssatz</t>
  </si>
  <si>
    <t>Jahr</t>
  </si>
  <si>
    <t>Strom</t>
  </si>
  <si>
    <t>%</t>
  </si>
  <si>
    <t>MWh/a</t>
  </si>
  <si>
    <t xml:space="preserve">Preis fossiler Brennstoff </t>
  </si>
  <si>
    <t>Strompreis</t>
  </si>
  <si>
    <t>Min</t>
  </si>
  <si>
    <t>Max</t>
  </si>
  <si>
    <t>Jahre</t>
  </si>
  <si>
    <t>Investitionskosten</t>
  </si>
  <si>
    <t>Übers.</t>
  </si>
  <si>
    <t>Unters.</t>
  </si>
  <si>
    <t>Brennstoff Biomasse</t>
  </si>
  <si>
    <t>MWh</t>
  </si>
  <si>
    <t>Brennstoff fossil</t>
  </si>
  <si>
    <t>Gesamte Investitionskosten</t>
  </si>
  <si>
    <t>Jahr des Projektbeginns</t>
  </si>
  <si>
    <t>Basisjahr für Investitionen - wird als Jahr 0 für die Wirtschaftlichkeitsrechnung herangezogen</t>
  </si>
  <si>
    <t>Miete /Pacht / Grundstückskosten</t>
  </si>
  <si>
    <t>Sonstige (Versicherung etc.)</t>
  </si>
  <si>
    <t>Kosten für Miete / Pacht / Grundstück</t>
  </si>
  <si>
    <t>[JJJJ]</t>
  </si>
  <si>
    <t>Aus-lastung</t>
  </si>
  <si>
    <t>MinText</t>
  </si>
  <si>
    <t>MaxText</t>
  </si>
  <si>
    <t>SonstText</t>
  </si>
  <si>
    <t>S.Fehler</t>
  </si>
  <si>
    <t>Sonstige
+ Miete/
Pacht</t>
  </si>
  <si>
    <t>Jahr - die Periodisierung dieses Berechnungswerkzeugs ist 1 Periode = 1 Betriebsjahr.</t>
  </si>
  <si>
    <t>Abkürzungen</t>
  </si>
  <si>
    <t>CHF/MWh</t>
  </si>
  <si>
    <t>CHF</t>
  </si>
  <si>
    <t>CHF/a</t>
  </si>
  <si>
    <t>CHF/MWh erzeugte Energie</t>
  </si>
  <si>
    <t>CHF/kWhel</t>
  </si>
  <si>
    <t>CHF/kWh</t>
  </si>
  <si>
    <t>Projekt/Variante:</t>
  </si>
  <si>
    <t>Erfasst von:</t>
  </si>
  <si>
    <t>Eingaben Verbraucher</t>
  </si>
  <si>
    <t>Allgemeines</t>
  </si>
  <si>
    <t>Nummer</t>
  </si>
  <si>
    <t>Bezeichnung</t>
  </si>
  <si>
    <t>Gesamtwärmebedarf [MWh/a]</t>
  </si>
  <si>
    <t>abonnierte Leistung [kW]</t>
  </si>
  <si>
    <t>Anschluss</t>
  </si>
  <si>
    <t>Anschlusszeitpunkt</t>
  </si>
  <si>
    <t>Anschlussjahr</t>
  </si>
  <si>
    <t>Tarif</t>
  </si>
  <si>
    <t>Wärmepreis-Tarif</t>
  </si>
  <si>
    <t>Anschlusskosten (einmalig) [CHF]</t>
  </si>
  <si>
    <t>Tarif 1</t>
  </si>
  <si>
    <t>Tarif 2</t>
  </si>
  <si>
    <t>Tarif 3</t>
  </si>
  <si>
    <t>Tarifname</t>
  </si>
  <si>
    <t>Leistungstarif [CHF/kW]</t>
  </si>
  <si>
    <t>Tarif 4</t>
  </si>
  <si>
    <t>a</t>
  </si>
  <si>
    <t>Wärmenetz inkl. Tiefbau</t>
  </si>
  <si>
    <t>Hausstationen</t>
  </si>
  <si>
    <t>Kredit/Darlehen</t>
  </si>
  <si>
    <t>Einmaliger Förderbeitrag Paket 1</t>
  </si>
  <si>
    <t>Einmaliger Förderbeitrag Paket 2</t>
  </si>
  <si>
    <t>Brennstoffpreis Holz (ab Wärmezähler)</t>
  </si>
  <si>
    <t>Einmalige Förderung (z.B. Kantonale Förderung)</t>
  </si>
  <si>
    <t>(exkl. MWST)</t>
  </si>
  <si>
    <t>Hilfsenergie (Strom)</t>
  </si>
  <si>
    <t>% der produzierten Wärme</t>
  </si>
  <si>
    <t>Baukosten Gebäude Umgebung</t>
  </si>
  <si>
    <t>QM Holzheizwerke - Wirtschaftlichkeitsmodell - Eingabe Verbraucher</t>
  </si>
  <si>
    <t>QM Holzheizwerke - Wirtschaftlichkeitsmodell - Ergebnis</t>
  </si>
  <si>
    <t>Fremdfinanzierung</t>
  </si>
  <si>
    <t>Allgemeine Teuerung</t>
  </si>
  <si>
    <t>Effektiver Aufwand</t>
  </si>
  <si>
    <t>Mehrjährige Förderung (z.B. KliK)</t>
  </si>
  <si>
    <t>Jahresnutzungsgrad Kessel fossil</t>
  </si>
  <si>
    <t>Schlüsselkunden (oder Gruppe von Schlüsselkunden gleicher Charakteristik)</t>
  </si>
  <si>
    <t>Gebäudetyp &amp; Bezugscharakteristik</t>
  </si>
  <si>
    <t>Leistung [kW]</t>
  </si>
  <si>
    <t>Jahreswärmebedarf [MWh/a]</t>
  </si>
  <si>
    <t>Wärmegestehungspreis [Rp/kWh]</t>
  </si>
  <si>
    <t>Teuerung [%]</t>
  </si>
  <si>
    <t>Wärmepreis</t>
  </si>
  <si>
    <t>Startjahr</t>
  </si>
  <si>
    <t>Jahr der ersten Auszahlung</t>
  </si>
  <si>
    <t>Jahr der Förderungsauszahlung</t>
  </si>
  <si>
    <t>Förderlaufzeit</t>
  </si>
  <si>
    <t>Durchschnittliche jährliche Förderung</t>
  </si>
  <si>
    <t>Unterhaltskosten</t>
  </si>
  <si>
    <t>Betriebskosten</t>
  </si>
  <si>
    <t>Holzspezifische Anlagenteile</t>
  </si>
  <si>
    <t>Spitzenlastspezifische Anlagenteile</t>
  </si>
  <si>
    <t>Installationen Zentrale</t>
  </si>
  <si>
    <t>Administration</t>
  </si>
  <si>
    <t>CHF/MWh Primärenergie</t>
  </si>
  <si>
    <t>Gesamter Wärmebezug der Abnehmer</t>
  </si>
  <si>
    <t>Netzverluste</t>
  </si>
  <si>
    <t>spezifische</t>
  </si>
  <si>
    <t>Nutzungsdauer</t>
  </si>
  <si>
    <t>Abschreibung</t>
  </si>
  <si>
    <t>Standardwert oder Berechnung (kann geändert werden)</t>
  </si>
  <si>
    <t>Aufwand</t>
  </si>
  <si>
    <t>Ertrag</t>
  </si>
  <si>
    <t>Bilanz</t>
  </si>
  <si>
    <t>Unterhalt</t>
  </si>
  <si>
    <t>Zusätzlicher Aufwand</t>
  </si>
  <si>
    <t>Gesamt-aufwand</t>
  </si>
  <si>
    <t>Zusätzlicher Ertrag</t>
  </si>
  <si>
    <t>Effektiver Ertrag</t>
  </si>
  <si>
    <t>Jahr der Inbetriebnahme / erste Wärmelieferung</t>
  </si>
  <si>
    <t>Eingabe Grund- und Arbeitspreis</t>
  </si>
  <si>
    <t>QM Holzheizwerke - Zusammenstellung für KliK-Tool "Nachweis der Zusätzlichkeit von Fernwärmeprojekten"</t>
  </si>
  <si>
    <t>Jahr Anschluss</t>
  </si>
  <si>
    <t xml:space="preserve">Leistung im Vollausbau [kW] </t>
  </si>
  <si>
    <t>Schlüsselkunden</t>
  </si>
  <si>
    <t>Wärmebezug (Nutzenergie) (inkl. Auswirkungen Gebäudesanierung)</t>
  </si>
  <si>
    <t>[MWh/a]</t>
  </si>
  <si>
    <t>Register Wärmebezug; Abschnitt Referenzentwicklung</t>
  </si>
  <si>
    <t>Register Inputgrössen; Abschnitt Referenzentwicklung</t>
  </si>
  <si>
    <t>Total Elektrizitätsverbrauch pro Jahr</t>
  </si>
  <si>
    <t>Elektrizitätsverbrauch Fernwärmezentrale</t>
  </si>
  <si>
    <t>Investitionen und Ersatzinvestitionen</t>
  </si>
  <si>
    <t>[CHF/a]</t>
  </si>
  <si>
    <t>Fernwärmenetz (40 Jahre)</t>
  </si>
  <si>
    <t>Heizzentrale bzw. dezentrale Wärmesysteme (15 Jahre)</t>
  </si>
  <si>
    <t>Restwert Fernwärmenetz</t>
  </si>
  <si>
    <t>[CHF]</t>
  </si>
  <si>
    <t>Kosten</t>
  </si>
  <si>
    <t>Betrieb und Unterhalt</t>
  </si>
  <si>
    <t>Energiekosten</t>
  </si>
  <si>
    <t>Total Aufwand pro Jahr</t>
  </si>
  <si>
    <t>Ertrag (ohne Abgeltung)</t>
  </si>
  <si>
    <t>Anschlussbeiträge / einmalige Erträge</t>
  </si>
  <si>
    <t>Wärmeverkauf / wiederkehrende Erträge</t>
  </si>
  <si>
    <t>Förderbeiträge Dritter (Kanton, Bund, Gemeinde)</t>
  </si>
  <si>
    <t>Register Wirtschaftlichkeit; Projektaktivität</t>
  </si>
  <si>
    <t>Alle CHF - Beträge müssen ohne Mehrwertsteuer angegeben werden.</t>
  </si>
  <si>
    <t>Eingabefelder sind hellgelb unterlegt</t>
  </si>
  <si>
    <t>Wärmemengen, Netz, Projektstart</t>
  </si>
  <si>
    <t>Kapitel Wärmemengen, Netzverluste und allgemeine Angaben zum Projekt</t>
  </si>
  <si>
    <t>Jahr der ersten Wärmelieferung - ab diesem Jahr werden Einnahmen generiert. (Übernahme des ersten Jahres mit Wärmelieferung aus dem Register "Verbraucher"</t>
  </si>
  <si>
    <t>Einkaufspreise Energie, Betriebskosten und übrige Aufwendungen</t>
  </si>
  <si>
    <t>Einkaufspreis für den Brennstoff Biomasse in CHF/MWh Nutzenergie (gemessen am Wärmezähler)</t>
  </si>
  <si>
    <t>Anteil der mit Biomasse erzeugten Nutzwärme</t>
  </si>
  <si>
    <t>Anteil der fossil erzeugten Nutzwärme</t>
  </si>
  <si>
    <t>Jahresnutzungsgrad des fossilen Spitzenlastkessels.
Wird zur Spitzenlastdeckung ein Erdgaskessel eingebaut und unter Punkt 124 der Preis in MWho eingegeben, ist zusätzlich die Umrechnung von Ho zu Hu (0.9) zu berücksichtigen.</t>
  </si>
  <si>
    <t>Anteil Hilfsenergie (Strom) bezogen auf die produzierte Wärmemenge. Diese wird sowohl bei der Wärmeerzeugung als auch bei der Wärmeverteilung benötigt.
Empfehlung QMH: Für die Wärmeerzeugung wird 1 - 1.5% der produzierten Wärme benötigt, für die Wärmeverteilung 0.5 - 1% der verteilten Wärme.</t>
  </si>
  <si>
    <t>Kostenstruktur</t>
  </si>
  <si>
    <t>Eingabespalte der Investitionskosten</t>
  </si>
  <si>
    <t>spez. Unterhaltskosten: Prozentualer Anteil der Investitionskosten (siehe auch QMH Planungshandbuch)</t>
  </si>
  <si>
    <t>Abschreibedauer der Anlagenteile (siehe auch QMH Planungshandbuch)</t>
  </si>
  <si>
    <t>Investitionen, Abschreibung etc.</t>
  </si>
  <si>
    <t>Baukosten für die Heizzentrale und das Brennstofflager</t>
  </si>
  <si>
    <t>Kosten für die holzspezifischen Anlagenteile (Kesselanlage komplett)</t>
  </si>
  <si>
    <t>Kosten für die spitzenlastspezifischen Anlagenteile (fossile Kesselanlage)</t>
  </si>
  <si>
    <t>Kosten für Wärmenetz inkl. Tiefbaukosten</t>
  </si>
  <si>
    <t>Planung und Unvorhergesehenes</t>
  </si>
  <si>
    <t>Startjahr des Darlehens. In diesem Jahr wird das Darlehen an das Projekt ausgezahlt und es ist die erste Amortisationsrate fällig. Die Zinszahlung erfolgt jeweils im Folgejahr.</t>
  </si>
  <si>
    <t>Angaben zu Fördergeldern</t>
  </si>
  <si>
    <t>Jahr der Förderauszahlung des ersten Pakets. Es wird empfohlen, die Auszahlung frühestens nach der Inbetriebnahme, besser nach dem ersten Betriebsjahr in die Kalkulation einzubeziehen. Durch eine verzögerte Auszahlung entstehen zusätzliche Zinsen für das zwischenzeitlich benötigte Fremdkapital.</t>
  </si>
  <si>
    <t>Einmalig ausbezahlter Förderbeitrag des ersten Pakets</t>
  </si>
  <si>
    <t>Einmalig ausbezahlter Förderbeitrag des zweiten Pakets</t>
  </si>
  <si>
    <t>Jahr der Förderauszahlung des zweiten Pakets</t>
  </si>
  <si>
    <t>Nebst den einmaligen Förderungen kann auch eine befristete jährliche Förderung (z.B. KliK) eingegeben werden</t>
  </si>
  <si>
    <t>Durchschnittliche Auszahlung pro Jahr innerhalb der Förderlaufzeit.</t>
  </si>
  <si>
    <t>Laufzeit der jährlichen Förderung (Anzahl Auszahlungen)</t>
  </si>
  <si>
    <t>Jahr der ersten Auszahlung. Bitte berücksichtigen Sie die Bearbeitungsdauer für die Berechnung der jährlichen Auszahlung. Es wird empfohlen die erste Auszahlung frühestens im Jahr nach der IBN einzurechnen.</t>
  </si>
  <si>
    <t>Berechnete Werte</t>
  </si>
  <si>
    <t>Berechnete Werte: Zahlenwerte, die sich aus den obigen Eingaben errechnen lassen und zur Kontrolle der Eingabe und Darstellung der Berechnung der Energiemengen dienen.</t>
  </si>
  <si>
    <t>max. erzeugte Wärmemenge</t>
  </si>
  <si>
    <t>max. jährliche Energiekosten Biomasse</t>
  </si>
  <si>
    <t xml:space="preserve"> max. jährliche Nutzwärmemenge aus Biomasse</t>
  </si>
  <si>
    <t>max. jährlicher Brennstoffbedarf fossil (primär)</t>
  </si>
  <si>
    <t>max. jährliche Energiekosten fossil</t>
  </si>
  <si>
    <t>Mit Biomasse erzeugte Nutzwärmemenge: wird über den Anteil Biomasse (Pkt. 122) berechnet</t>
  </si>
  <si>
    <t>maximal erzeugte Jahreswärmemenge: wird aus der verkauften Jahreswärmemenge (Pkt. 111) und den Netzverlusten (Pkt. 112)</t>
  </si>
  <si>
    <t>Anteil der verkauften Wärme, die fossil erzeugt wird in Prozent: wird aus dem Anteil Biomassewärme (Pkt. 122) berechnet</t>
  </si>
  <si>
    <t>Die jährlichen Energiekosten Biomasse wird aus der Nutzenergie Biomasse (Pkt. 182) und den Brennstoffkosten für Biomasse (Pkt. 121) berechnet</t>
  </si>
  <si>
    <t>Fossiler Primärenergiebedarf für die Spitzenlastdeckung: wird aus dem Anteil fossil (Pkt. 123) und dem Jahresnutzungsgrad des Spitzenlastkessels (Pkt. 125) berechnet.</t>
  </si>
  <si>
    <t>jährlicher Stromverbrauch</t>
  </si>
  <si>
    <t>benötigte elektrische Energie für den Betrieb der Anlage: Berechneter prozentualer Anteil der Gesamtwärmemenge (Pkt. 181) und dem Anteil Hilfsenergie (Pkt. 126).</t>
  </si>
  <si>
    <t xml:space="preserve">Stromverbrauch für Hilfsenergie: Berechnet aus dem Hilfsenergiebdedarf (Pkt. 184) und dem Strompreis (Pkt. 127) </t>
  </si>
  <si>
    <t>Gesamte Investitionskosten für das Projekt (Heizzentrale, Wärmenetz, Wärmeübergabestationen etc.)</t>
  </si>
  <si>
    <t>Bearbeitende Person des Wirtschaftlichkeitsmodelles</t>
  </si>
  <si>
    <t>Eingabefeld für Name und Bezeichnung von Projekt und/oder Variante</t>
  </si>
  <si>
    <t>Tarifstruktur: Es können für vier Tarifstufen individuelle Preise eingetragen werden</t>
  </si>
  <si>
    <t>Tarifstufe 1: z.B. Kleinkunden mit sehr geringer Wärmeabnahme und Leistungsanforderung
Im Eingabefeld ist ein Name für die Tarifstufe 1 einzutragen
Im Feld  "% der Wärmemenge" wird der Anteil der Wärmemenge dieser Tarifstufe anhand der Angaben im Register E3_Verbraucher berechnet.</t>
  </si>
  <si>
    <t>Arbeitspreis Tarifstufe 1: Arbeitspreis in CHF je kWh für die verkaufte Wärmemenge.</t>
  </si>
  <si>
    <t>Feld für Name und Bezeichnung von Projekt und/oder Variante: wird von Pkt. 106 übernommen</t>
  </si>
  <si>
    <t>Wärmebedarf</t>
  </si>
  <si>
    <t>Abonnierte Leistung gemäss Wärmeliefervertrag
Achtung: Hier ist die abonnierte Leistung einzutragen, die für die Verrechnung der Grundgebühr benötigt wird. Diese kann von der berechneten nötigen Leistung gemäss Excel-Tabelle Situationserfassung abweichen!</t>
  </si>
  <si>
    <t>Anschlussjahr: Kalenderjahr, in dem der Verbraucher erstmals mit Wärme versorgt wird</t>
  </si>
  <si>
    <t>Tarifstufe des Wärmepreises für den Verbraucher (Auswahlfeld: es können die in E2_Wärmepreis definierten Tarifstufen gewählt werden)</t>
  </si>
  <si>
    <t>jährliche Grundkosten für den Verbraucher: Berechnet aus der abonnierten Leistung und den Grundkosen der gewählten Tarifstufe</t>
  </si>
  <si>
    <t>jährliche Energiekosten für den Verbraucher: Berechnet aus dem Jahreswärmebedarf und dem Arbeitspreis der gewählten Tarifstufe</t>
  </si>
  <si>
    <t>jährliche Grund- und Energiekosten für den Verbraucher: Summe aus Pkt. 331 + 332 (Dieser Wert wird als jährlicher Ertrag für den Wärmeverbund verbucht)</t>
  </si>
  <si>
    <t>Jahreskosten für den Verbraucher: Summe aus Kapital-, Grund- und Energiekosten (Pkt. 330-332)</t>
  </si>
  <si>
    <t>Wärmegestehungspreis der Verbraucher: Berechnet aus den Jahreskosten (Pkt. 334) und dem Wärmebezug (Pkt. 320)</t>
  </si>
  <si>
    <t xml:space="preserve">QM Holzheizwerke - Wirtschaftlichkeitsmodell - Wärmepreis </t>
  </si>
  <si>
    <t>Warnungshinweis: Wenn in den Eingabeblättern E1 und E2 noch Warnungen anstehend sind, wird in diesem Feld ein "Sammelalarm" ausgegeben.</t>
  </si>
  <si>
    <t>Projektdaten</t>
  </si>
  <si>
    <t>Projektbeginn</t>
  </si>
  <si>
    <t>Total Förderung</t>
  </si>
  <si>
    <t>im Jahr</t>
  </si>
  <si>
    <t>Betrieb + Administra-tion</t>
  </si>
  <si>
    <t>Wärme-verkauf</t>
  </si>
  <si>
    <t>Anschluss-beiträge</t>
  </si>
  <si>
    <t>Jahr nach IBN</t>
  </si>
  <si>
    <t>Kreditstand</t>
  </si>
  <si>
    <t>Restwert der Anlagen</t>
  </si>
  <si>
    <t>Zusammenstellung der Betriebskosten: Es werden jeweils die theoretischen Gesamtkosten beim Vollausbau (100% Anschluss) im ersten Betriebsjahr dargestellt.</t>
  </si>
  <si>
    <t xml:space="preserve"> (100% Auslastung; Jahr 1)</t>
  </si>
  <si>
    <t>Total Betriebskosten</t>
  </si>
  <si>
    <t>Brennstoff Biomasse: siehe Pkt. 185</t>
  </si>
  <si>
    <t>Brennstoff fossil: siehe Pkt. 186</t>
  </si>
  <si>
    <t>Strom: siehe Pkt. 187</t>
  </si>
  <si>
    <t>Betriebskosten: siehe Pkt. 130</t>
  </si>
  <si>
    <t>Teuerung des Wärmeverkaufspreises: Übernimmt den gewichteten Mittelwert der Teuerungen von Pkt. 512-519 (Der Wert kann überschrieben werden. Das Überschreiben des berechneten Wertes löscht die hinterlegte Formel!)</t>
  </si>
  <si>
    <t>Unterhaltskosten: siehe Pkt. 132</t>
  </si>
  <si>
    <t>Administration: siehe Pkt. 131</t>
  </si>
  <si>
    <t>Miete /Pacht / Grundstückskosten: siehe Pkt. 135</t>
  </si>
  <si>
    <t>Sonstige (Versicherung etc.): siehe Pkt. 136</t>
  </si>
  <si>
    <t>Gesamtinvestitionsumme</t>
  </si>
  <si>
    <t>Summe der Aufwendungen des Wärmeverbundes</t>
  </si>
  <si>
    <t>Ertrag aus dem Fernwärmeverkauf: Grundkosten und Wärmeverkauf</t>
  </si>
  <si>
    <t>Gesamtertrag des Projektes</t>
  </si>
  <si>
    <t xml:space="preserve">Diagramm mit der Darstellung der wirtschaftlichen Entwicklung im Verlauf der Perioden 1-25. </t>
  </si>
  <si>
    <t>allgemeine jährliche Teuerung in %: Es kann ein Globalwert eingegeben werden, der als Vorgabe in die individuellen Teuerungen im Register B1_Berechnungen (Pkt. 505) übernommen wird.</t>
  </si>
  <si>
    <t>Teuerungsspalte: Als Standard wird die allgemeine Teuerung, die im Register E1_Projektdaten (Pkt. 137) erfasst wird eingesetzt.
Es kann jedoch für jede Kostenposition (Pkt. 512-519) eine individuelle jährliche Teuerung eingesetzt werden. In Pkt. 520 (Wärmepreis) wird Teuerung aufgrund des gewichteten Mittelwertes berechnet. Der Wert kann bei Bedarf überschrieben werden Achtung: Das Überschreiben des berechneten Wertes löscht die hinterlegte Formel!</t>
  </si>
  <si>
    <t>QM Holzheizwerke - Wirtschaftlichkeitsmodell - Ergebnisse</t>
  </si>
  <si>
    <t>Kesselanlagen und Installationen</t>
  </si>
  <si>
    <t>Wärmenetz inkl. Tiefbau und Hausstationen</t>
  </si>
  <si>
    <t>Total Aufwand</t>
  </si>
  <si>
    <t>Total Ertrag</t>
  </si>
  <si>
    <t>Fördergelder, Sonstiges</t>
  </si>
  <si>
    <t>Fremdfinanzierung / Förderung</t>
  </si>
  <si>
    <t>Energie</t>
  </si>
  <si>
    <t>gelieferte Wärmemenge</t>
  </si>
  <si>
    <t>Restwert der Anlage</t>
  </si>
  <si>
    <t>Netzauslastung</t>
  </si>
  <si>
    <t>Investitionsstaffelung</t>
  </si>
  <si>
    <t>Anteil</t>
  </si>
  <si>
    <t>Entwicklung Netzauslastung</t>
  </si>
  <si>
    <t>Wirtschaftliche Entwicklung (Diagramm)</t>
  </si>
  <si>
    <t>Bemerkungen</t>
  </si>
  <si>
    <t>Kesselanlagen und Installationen: Berechnete Summe aus den Punkten 152, 153 und 154</t>
  </si>
  <si>
    <t>Entwicklung der Netzauslastung über den Projektzeitraum (Diagramm)</t>
  </si>
  <si>
    <t>Ausgabefelder</t>
  </si>
  <si>
    <t>Ausgabefelder, deren Inhalt kopiert werden und in einer externen Datei eingefügt werden können
Die Felder sind überschreibbar. Bitte beachten Sie, dass das Überschreiben dieser Felder zu Fehlern an anderen Stellen und damit zu Fehlern führen können.</t>
  </si>
  <si>
    <t>kWh</t>
  </si>
  <si>
    <t>Kilowattstunde thermisch bzw. Wärme</t>
  </si>
  <si>
    <t>Jahr (anno)</t>
  </si>
  <si>
    <t>Schweizer Franken</t>
  </si>
  <si>
    <t>Prozent</t>
  </si>
  <si>
    <t>Megawattstunde elektrisch bzw. Strom</t>
  </si>
  <si>
    <t>Kilowattstunde elektrisch bzw. Strom</t>
  </si>
  <si>
    <t>VJ</t>
  </si>
  <si>
    <t>ÜS</t>
  </si>
  <si>
    <t>Vorjahr</t>
  </si>
  <si>
    <t>laufende</t>
  </si>
  <si>
    <t>Überschuss</t>
  </si>
  <si>
    <t>Wärmemessung und Regelarmaturen</t>
  </si>
  <si>
    <t>Wärmenetz, Tiefbau und Hausstationen inkl. Wärmemessungen: Berechnete Summe aus den Punkten 155 bis 157</t>
  </si>
  <si>
    <t>Strompreis in CHF/kWh (inkl. Anteil Anschlusskosten etc.) (Empfehlung wenn nicht bekannt: 0.2 CHF/kWhel)</t>
  </si>
  <si>
    <t>Kredit 1</t>
  </si>
  <si>
    <t>Kredit 2</t>
  </si>
  <si>
    <t>Megawattstunde thermisch bzw. Wärme</t>
  </si>
  <si>
    <t>nicht eingerechneter Aufwand und Ertrag</t>
  </si>
  <si>
    <t>Zusätzliche Erträge - Spalte für freie Eingabe (Der Spaltentitel kann überschrieben werden)
Achtung NPV: Diese Erträge werden im Registerblatt "A2_NPV-Daten" unter 930 aufgeführt.  Sie müssen manuell an die richtigen Stellen  übertragen werden!</t>
  </si>
  <si>
    <t>Kosten für die Wärmeübergabestationen bei den Verbrauchern
Anteil Kunden, wird üblicherweise mit den einmaligen Anschlusskosten (Pkt. 325) an den Wärmeverbund zurückbezahlt. In dieser Position fallen üblicherweise keine Ersatzinvestitionen für den Wärmeverbund an.
Diese Position wird nicht in die Restwertbetrachtung eingerechnet!</t>
  </si>
  <si>
    <t>Laufzeit des Kredits, in dieser Berechnung werden konstante Raten über die gesamte Laufzeit angenommen. Die Laufzeit des Kredits sollte gegenüber der Bank so lange als möglich vereinbart werden (ideal 20... 25 Jahre) und die Möglichkeit einer vorzeitigen kostenfreien Rückzahlung im Kreditvertrag festgehalten werden. So bleibt die verpflichtete Rate so tief wie möglich, bei höheren Einnahmen kann der Betreiber  vorauszahlen und damit den Kredit rascher amortisieren.
Unbefristete Kredite ohne Rückzahlraten (z.B. Hypotheken ohne Amortisation) werden mit der Laufzeit "0" eingetragen.</t>
  </si>
  <si>
    <t>Gesamt-ertrag</t>
  </si>
  <si>
    <t>(inkl. Ausbauten)</t>
  </si>
  <si>
    <t>Ausbaustufe / Etappe 1</t>
  </si>
  <si>
    <t>Ausbaustufe / Etappe 2</t>
  </si>
  <si>
    <t>Ausbaustufe / Etappe 3</t>
  </si>
  <si>
    <t>Aufteilung der Investitionen auf max. drei Jahre in % der Gesamtinvestition (Pkt. 159)
Hinweis: Die Unterhaltskosten (Pkt. 142) werden nach dem selben Verteiler abgestuft. Bei Abweichungen zwischen den effektiven Unterhaltskosten und den in Pkt. 558 ausgewiesenen Aufwendungen, sind die Prozentsätze in Pkt. 142 entsprechend anzupassen.</t>
  </si>
  <si>
    <t>Eingabefelder mit Standardwerten und/oder Berechnungen sind hellblau unterlegt
Bitte beachten Sie, dass das Überschreiben dieser Felder zu Fehlern an anderen Stellen und damit zu falschen Aussagen des Werkzeuges führen können.</t>
  </si>
  <si>
    <t>QM Holzheizwerke - Wirtschaftlichkeitsmodell - Projektdaten</t>
  </si>
  <si>
    <t>Verkaufte Wärmemenge in MWh bei einem Wärmeabnahmegrad von 100%. (Berechnet aus der Summe der Wärmebezüger aller Wärmeabnehmer im Register "Verbraucher"</t>
  </si>
  <si>
    <t>Netzverluste des Fernwärmenetzes (Q-Forderung QMH ≤10%). Verhältnis zwischen der Differenz der produzierten und der verkauften Wärmemenge zur verkauften Wärmemenge. Bei Netzen im Wachstum ist allenfalls ein mittlerer Verlust anzugeben.</t>
  </si>
  <si>
    <t>Erfassung der Energiepreise, Betriebskosten und sonstigen Aufwendungen (wesentliche Aufwendungen für das Projekt)</t>
  </si>
  <si>
    <t>Berechnete Gesamtinvestitionen für das Projekt und mittlere Abschreibedauer</t>
  </si>
  <si>
    <t>Es können zwei "Pakete" von einmaligen Förderbeiträgen (z.B. kantonale Förderung, Klimastiftung, Berghilfe etc.) mit unterschiedlichen Auszahlungsjahren  eingegeben werden.</t>
  </si>
  <si>
    <t>Die jährlichen Kosten für den Einkauf der fossilen Spitzenlastenergie wird aus der benötigten fossilen Primärenergie (Pkt. 183) und den Einkaufskosten für die fossile Energie (Pkt.: 124) berechnet.</t>
  </si>
  <si>
    <t>Bearbeitende Person: wird von Pkt. 107 übernommen</t>
  </si>
  <si>
    <t>Anschlusszeitpunkt: Prozentualer Anteil des Wärmebedarfes im Anschlussjahr (Pkt. 323) des Gesamtwärmebedarfes (Pkt. 320)
Beispiel: Erfolgt der Anschluss auf Beginn der Heizperiode, beträgt der Wärmebedarf im Anschlussjahr z.B. ca. 40%. Im Anschlussjahr wird dann mit einem Wärmeverkauf von 40% gerechnet und im Folgejahr 100%</t>
  </si>
  <si>
    <t>Anschlusskosten: einmalige Anschlusskosten, die der Verbraucher an den Wärmeverbund entrichtet. Die Kosten werden im Anschlussjahr (Pkt. 323) als Ertrag für den Wärmeverbund verbucht.</t>
  </si>
  <si>
    <t xml:space="preserve">Total der Betriebskosten: Berechnet aus der Summe der Punkte: 512-519, Die Teuerung entspricht dem gewichteten Mittelwert der Teuerungen von Pkt. 512-519 </t>
  </si>
  <si>
    <t>Anschlussbeiträge der Verbraucher werden im Jahr des Anschlusses eingerechnet</t>
  </si>
  <si>
    <t>Energiekosten: Berechnete Summe aus den Punkten 554, 555 und 556 (Achtung: Diese Auswertung wird nicht angepasst, wenn im Eingabefeld von Pkt. 562 ein effektiver Aufwand eingetragen wird!)</t>
  </si>
  <si>
    <t>lfd.</t>
  </si>
  <si>
    <t>max. jährliche Stromkosten</t>
  </si>
  <si>
    <t>Gesamtsumme Förderung</t>
  </si>
  <si>
    <t>Feld für Übertrag aus Situationserfassung</t>
  </si>
  <si>
    <t>Kosten für die Wärmezähler und die Regelung bei den Verbrauchern (im Besitz des Wärmeverbundes), inklusive der Wärmezähler der Erzeuger. Bei dieser Position fallen üblicherweise nach ca. 15 Jahren Ersatzinvestitionen an.</t>
  </si>
  <si>
    <t>Kosten für Planung und Unvorhergesehenes (Abschreibung über mittlere Abschreibedauer)
Diese Position wird in der Restwertbetrachtung nicht eingerechnet!</t>
  </si>
  <si>
    <t>Summe des fremdfinanzierten Betrages</t>
  </si>
  <si>
    <t>Gesamtmenge der Fördermittel: berechnet aus den einmaligen Förderbeiträgen (Pkt. 172/174) und der jährlichen Förderung (Pkt. 177) und der Laufzeit der jährlichen Förderung (Pkt. 178)</t>
  </si>
  <si>
    <t>Grundpreis Tarifstufe 1: Grundpreis in CHF pro Jahr je kW abonnierte Wärmeleistung gemäss Wärmeliefervertrag.
Um eine Berechnung ohne Grundpreis durchzuführen, ist in dieses Feld gleich Null zu setzen.
Üblicherweise werden die Grundpreise je kW installierte Leistung mit zunehmender Leistung des Anschlusses etwas geringer.</t>
  </si>
  <si>
    <t>Installationskosten für Heizung, Lüftung, Klima, Sanitär und Elektro (HLKSE)</t>
  </si>
  <si>
    <t>Auslastung des Heizwerks bzw. Wärmenetzes bezogen auf den Endausbau.</t>
  </si>
  <si>
    <t>Effektiver Ertrag: Für die laufende Nachkalkulation können in dieser Spalte die effektiven Jahreserträge eingetragen werden.
Ist in der Spalte ein Wert &gt;0 eingetragen, werden im betreffenden Jahr für die weiteren Auswertungen die Einträge in den Spalten 571-574 ignoriert.
Achtung NPV: Diese Erträge werden nicht automatisch ins Registerblatt "A2_NPV-Daten" übernommen.</t>
  </si>
  <si>
    <t>Betriebsjahr: Jahr der Inbetriebnahme (Pkt. 115) = Jahr 1 (informativ). Aus diesem Wert wird der Zeitpunkt von Erneuerungsinvestitionen errechnet.</t>
  </si>
  <si>
    <t>Restwert der Anlage unter Berücksichtigung der Abschreibung
Der Restwert berechnet sich aus dem prozentualen Investitionsanteil und der entsprechenden Abschreibung.
Hinweis: Die Kosten für die Hausstationen und die Planung sind nicht eingerechnet.</t>
  </si>
  <si>
    <t>Etappe 1: Startjahr des Projektes (Pkt.: 114) ist immer das Jahr der ersten Investitionen: Feld kann nicht bearbeitet werden; Investitionen, die nicht in den Jahren der Punkte 162 + 163 getätigt werden, fallen im Startjahr an.
(Formel: 100% Gesamtinvestition - Investitionsanteile Pkt. 162+163)</t>
  </si>
  <si>
    <t>Etappe 2: Jahr und Investitionsanteil der zweiten Etappe. Standardmässig wird das Jahr nach dem Startjahr gewählt.
Das Feld kann überschrieben werden.
Achtung: Das Überschreiben des Feldes löscht die Formel!</t>
  </si>
  <si>
    <t>Etappe 3: Jahr und Investitionsanteil der dritten Etappe. Standardmässig wird das zweite Jahr nach dem Startjahr gewählt.
Das Feld kann überschrieben werden.
Achtung: Das Überschreiben des Feldes löscht die Formel!</t>
  </si>
  <si>
    <t>Diagramm mit der Darstellung der Entwicklung des Kreditstandes und des Restwertes der Anlage im Verlauf der Perioden 1-25. 
Hinweis: Um den Kredit sichern zu können darf der Restwert nicht kleiner als der Kreditstand sein!</t>
  </si>
  <si>
    <t>Warnungen
Hinweise:</t>
  </si>
  <si>
    <t>max. Eigenmittelbedarf</t>
  </si>
  <si>
    <t>Vertragslaufzeit</t>
  </si>
  <si>
    <t xml:space="preserve">Vertragslaufzeit Tarifstufe 1: Die übliche (durchschnittliche) Vertragslaufzeit für Wärmeverträge dieser Tarifstufe. Nach Ablauf dieser Laufzeit kann ein neuer Vertrag mit anderen Tarifen ausgehandelt werden. Da die Verträge üblicherweise stillschweigend erneuert werden, hat der Vertragsablauf keinen Einfluss auf die Berechnungen im Registerblatt "B1_Berechnungen".
Die Vertragslaufzeit wird für die Berechnung der Kapitalkosten der Wärmebezüger (Pkt. 330) verwendet. </t>
  </si>
  <si>
    <t>221
222
223
224</t>
  </si>
  <si>
    <t>Tarifstufe 2: z.B. Gewerbekunden mit mittlerer Wärmeabnahme und Leistungsanforderung
Im Eingabefeld ist ein Name für die Tarifstufe 2 einzutragen
Die Eingabe von Grundpreis, Arbeitspreis und Vertragsdauer erfolgt wie bei der Tarifstufe 1 (siehe Pkt. 211 - 214)</t>
  </si>
  <si>
    <t>231
232
233
234</t>
  </si>
  <si>
    <t>241
242
243
244</t>
  </si>
  <si>
    <t>Tarifstufe 3: z.B. öffentliche Institutionen mit grosser Wärmeabnahme und Leistungsanforderung
Im Eingabefeld ist ein Name für die Tarifstufe 3 einzutragen
Die Eingabe von Grundpreis, Arbeitspreis und Vertragsdauer erfolgt wie bei der Tarifstufe 1 (siehe Pkt. 211 - 214)</t>
  </si>
  <si>
    <t>Tarifstufe 4: z.B. Industriekunden mit ganz grosser Wärmeabnahme und hoher Leistungsanforderung
Im Eingabefeld ist ein Name für die Tarifstufe 4 einzutragen
Die Eingabe von Grundpreis, Arbeitspreis und Vertragsdauer erfolgt wie bei der Tarifstufe 1 (siehe Pkt. 211 - 214)</t>
  </si>
  <si>
    <t>jährlicher Grundpreis</t>
  </si>
  <si>
    <t>CHF/kW a</t>
  </si>
  <si>
    <t xml:space="preserve"> jährlicher Grundpreis</t>
  </si>
  <si>
    <t>Arbeitstarif [CHF/kWh a]</t>
  </si>
  <si>
    <t>Vertragslaufzeit [Jahre]</t>
  </si>
  <si>
    <t>Eingabefelder in welche Daten aus der QMH Excel-Datei Situationserfassung übernommen werden können
Hinweis: Damit keine Formeln kopiert werden, ist die Funktion "Einfügen - Werte" zu wählen.</t>
  </si>
  <si>
    <t>Nummer: Fortlaufende Nummer (Übernahme aus der Excel-Tabelle Situationserfassung möglich)
Hinweis: Damit keine Formeln kopiert werden, ist die Funktion "Einfügen - Werte" zu wählen.</t>
  </si>
  <si>
    <t>Bezeichnung: Drei Zeilen für die Objekt oder Etappenbenennung (Übernahme aus der Excel-Tabelle Situationserfassung möglich)
Hinweis: Damit keine Formeln kopiert werden, ist die Funktion "Einfügen - Werte" zu wählen.</t>
  </si>
  <si>
    <t>(exkl. MWSt.)</t>
  </si>
  <si>
    <t>jährliche Kapitalkosten [CHF/a]</t>
  </si>
  <si>
    <t>jährliche Grundkosten [CHF/a]</t>
  </si>
  <si>
    <t>jährliche Energiekosten [CHF/a]</t>
  </si>
  <si>
    <t>Grund- und Energiekosten [CHF/a]</t>
  </si>
  <si>
    <t>Jahreskosten [CHF/a]</t>
  </si>
  <si>
    <t xml:space="preserve"> [CHF/a]</t>
  </si>
  <si>
    <t>Projektdaten: Eckdaten zum Projekt
Projektbeginn: Basisjahr für Investitionen - wird als Jahr 0 für die Wirtschaftlichkeitsrechnung herangezogen (siehe auch Pkt. 114)</t>
  </si>
  <si>
    <t>Die maximal benötigten Eigenmittel im betreffenden Jahr zur Tilgung aller Kosten.</t>
  </si>
  <si>
    <t>jährliche Kapitalkosten (unverzinst) für den Verbraucher: Berechnet aus den Anschlusskosten (Pkt. 325) und der Vertragsdauer des Wärmeliefervertrages im entsprechenden Tarifmodell (Pkt. 214, 224, 234 und 244)</t>
  </si>
  <si>
    <t>Brennstoffkosten Biomasse: Teuerung mit eingerechnet</t>
  </si>
  <si>
    <t>Kosten fossiler Brennstoffe: Teuerung mit eingerechnet</t>
  </si>
  <si>
    <t>Stromkosten für die Hilfsenergie: Teuerung mit eingerechnet</t>
  </si>
  <si>
    <t xml:space="preserve">Förderung </t>
  </si>
  <si>
    <t>Erfolgsrechnung</t>
  </si>
  <si>
    <t>Jahres-gewinn/
-verlust</t>
  </si>
  <si>
    <t>Kumulierter Gewinn / Verlust</t>
  </si>
  <si>
    <t>Kapital</t>
  </si>
  <si>
    <t>Investi-tionen</t>
  </si>
  <si>
    <t>Kredit / Darlehen</t>
  </si>
  <si>
    <t>Amortisa-tion</t>
  </si>
  <si>
    <t>Cashflow</t>
  </si>
  <si>
    <t>Ab-schreibung</t>
  </si>
  <si>
    <t>Zins</t>
  </si>
  <si>
    <t>Kumulierter Cashflow</t>
  </si>
  <si>
    <t>Wärmeverkauf + Anschlussbeitrag</t>
  </si>
  <si>
    <t>Verzinsung Investitions-
summe</t>
  </si>
  <si>
    <t>jährlicher Bruttokreditzinssatz (vor Abzug der Verrechungssteuer) über die gesamte Laufzeit (mittlerer Zinssatz)</t>
  </si>
  <si>
    <t>Kalkulation der Aufwendungen und Erträge des Projektes nach Jahr über eine Projektlaufzeit von 25 Jahren
Bezogen auf die Kapitalwertberechnung müssen die "Einnahmen" den "Ausgaben" der einzelnen Perioden gegenübergestellt werden.
Hinweis: Die Berechnungen erfolgen ohne Verzinsung der Eigenmittel</t>
  </si>
  <si>
    <t>Wärmebedarf der zum aktuellen Zeitpunkt angeschlossenen Verbraucher inkl. prozentualem Zuschlag für Netzverluste (Pkt. 112)</t>
  </si>
  <si>
    <t>Kosten für Betrieb und Administration: Teuerung mit eingerechnet, die Kosten werden erst ab dem Jahr der ersten Wärmelieferung berechnet</t>
  </si>
  <si>
    <t>sonstige Kosten und Miet- und Pachtaufwand: Teuerung mit eingerechnet, diese Kosten fallen ab dem ersten Jahr an</t>
  </si>
  <si>
    <t>Unterhaltskosten: siehe auch Pkt. 132, Teuerung mit eingerechnet, die Kosten werden erst ab dem Jahr der ersten Wärmelieferung berechnet
Hinweis: Die Unterhaltskosten werden im Tool nach dem selben Verteiler gestaffelt wie die Investitionskosten (siehe Pkt. 160 Projektstaffelung). Bei Abweichungen zwischen den effektiven Unterhaltskosten und den in Pkt. 558 ausgewiesenen Aufwendungen, sind die Prozentsätze in Pkt. 142 entsprechend anzupassen oder Korrekturbeträge in der Spalte "zusätzlicher Aufwand" Pkt. 560 einzutragen.</t>
  </si>
  <si>
    <t>Sonstige Aufwendungen oder Korrekturen der berechneten Aufwendungen (Differenzen) können in dieser Spalte eingetragen werden. Zur Verbesserung der Verständlichkeit ist der Spaltentitel überschreibbar.
Hinweis: Diese Aufwendungen werden nicht als Wertmehrung im Anlagenwert verbucht.
Achtung NPV: Diese Aufwendungen werden im Registerblatt "A2_NPV-Daten" unter Pkt. 930 aufgeführt. Sie müssen manuell an die richtigen Stellen  übertragen werden!</t>
  </si>
  <si>
    <t>Effektiver Aufwand: Für die laufende Nachkalkulation können in dieser Spalte die effektiven Jahreskosten eingetragen werden.
Ist in der Spalte ein Wert &gt;0 eingetragen, werden im betreffenden Jahr für die weiteren Auswertungen die Einträge in den Spalten 554-560 ignoriert
Achtung NPV: Diese Aufwendungen werden nicht ins Registerblatt "A2_NPV-Daten" übernommen.</t>
  </si>
  <si>
    <t>Zinskosten von Krediten und Darlehen
Die erste Zinszahlung ist im Auszahlungsjahr fällig</t>
  </si>
  <si>
    <t>Auszahlung von Fördergelder gem. Eingabe in Register E1_Projektdaten
Die Werte können überschrieben werden.
Achtung: Das Überschreiben der Formeln löscht die Berechnung</t>
  </si>
  <si>
    <t>Erfolgsrechnung: Jahresgewinn / Verlust aus Aufwand (Pkt. 564) und Ertrag Pkt. 576)</t>
  </si>
  <si>
    <t>Erfolgsrechnung: Kumulierter Überschuss / Fehlbetrag</t>
  </si>
  <si>
    <t>Kredite / Darlehen: Die Auszahlung von Krediten und Darlehen wird im Jahr der Auszahlung verbucht</t>
  </si>
  <si>
    <t>Amortisation des Fremdgeldes über die Laufzeit der Kredite / Darlehen
Hinweis: Darlehen ohne Laufzeit werden nicht amortisiert.</t>
  </si>
  <si>
    <t>Cashflow: Berechnung der flüssigen Mittel (Nettozu- / -abfluss) aus Gesamtertrag (Pkt. 576) + Kreditauszahlungen (Pkt. 581) abzüglich Gesamtaufwand (Pkt. 564) ohne Abschreibungen (Pkt. 563), Investitionen (Pkt. 580) und Fremdgeldamortisation (Pkt. 582)</t>
  </si>
  <si>
    <t>Kreditstand (informativ) - Reine netto-Berechnung des Kreditstands, ohne Kosten für Bankgebühren, Errichtung etc.
Bedingte Formatierung: Wenn der Kreditstand durch den Restwert der Anlage nicht gesichert ist, wird das Feld rot hinterlegt.</t>
  </si>
  <si>
    <t>Verzinsung der Investition (Pkt. 190) unter Berücksichtigung des Restwertes der Anlage</t>
  </si>
  <si>
    <t>Kredite/Darlehen</t>
  </si>
  <si>
    <t>Betrieb, Unterhalt , Sonstiges</t>
  </si>
  <si>
    <t>Zinsen, Abschreibung</t>
  </si>
  <si>
    <t>Betrieb und Unterhalt: Berechnete Summe aus den Punkten 557, 558, 559 und 560
Achtung: Diese Auswertung wird nicht angepasst, wenn im Eingabefeld von Pkt. 561 ein effektiver Aufwand eingetragen wird!</t>
  </si>
  <si>
    <t>Verzinsung und Abschreibung: Berechnete Summe aus den Punkten 562 und 563</t>
  </si>
  <si>
    <t>Total Aufwand: Berechnete Summe aus den Punkten 621 bis 623
Achtung: Diese Auswertung wird nicht angepasst, wenn im Eingabefeld von Pkt. 562 ein effektiver Aufwand eingetragen wird!</t>
  </si>
  <si>
    <t>Total Ertrag: Berechnete Summe aus den Punkten 625 und 626
Achtung: Diese Auswertung wird nicht angepasst, wenn im Eingabefeld von Pkt. 575 ein effektiver Aufwand eingetragen wird!</t>
  </si>
  <si>
    <t>Wärmeverkauf: Berechnete Summe aus den Punkten 571 und 572
Achtung: Diese Auswertung wird nicht angepasst, wenn im Eingabefeld von Pkt. 575 ein effektiver Aufwand eingetragen wird!</t>
  </si>
  <si>
    <t>Fördergelder und sonstiges: Berechnete Summe aus den Punkten 573 und 574
Achtung: Diese Auswertung wird nicht angepasst, wenn im Eingabefeld von Pkt. 575 ein effektiver Aufwand eingetragen wird!</t>
  </si>
  <si>
    <t>Jahreskosten</t>
  </si>
  <si>
    <t>Wärmebedarf der zum aktuellen Zeitpunkt angeschlossenen Verbraucher</t>
  </si>
  <si>
    <t>Verzinsung Investition</t>
  </si>
  <si>
    <t>Entwicklung Kreditstand / Restwert (Diagramm)</t>
  </si>
  <si>
    <t>Jahr, in welchem mit der in Pkt. 660 eingetragene Verzinsung der Investition erwirtschaftet wird.</t>
  </si>
  <si>
    <t>mittlere Kosten bezogen auf Wärmeverkauf</t>
  </si>
  <si>
    <t>mittlere Kosten bezogen auf die verkaufte Wärmemenge in CHF/MWh: Berechnet aus dem Gesamtaufwand (Pkt. 564) und der verkauften Wärme (Pkt. 651)</t>
  </si>
  <si>
    <t>Abschreibung der Investitionen (Pkt. 141) über die Abschreibedauer (Pkt. 143)
Hinweis: Fällige Ersatzinvestitionen werden ebenfalls abgeschrieben</t>
  </si>
  <si>
    <t xml:space="preserve">Investitionen: Die Erstinvestition wird zum prozentualen Anteil (Pkt. 161) im ersten Jahr in dieser Spalte verbucht. Die weiteren Investitionen, werden anteilsmässig in den entsprechenden Jahren verbucht.
Ersatzinvestitionen werden nach Ablauf der Nutzungsdauer (Pkt. 143) inkl. Einrechnung der allgemeinen Teuerung (Pkt. 137) erneut investiert. </t>
  </si>
  <si>
    <t>Gesamtwärmebedarf des Wärmekunden bestehend aus dem Wärmebedarf für Raumwärme, Warmwasser und Prozesswärme (Ab Situationserfassung V34 könnnen die Werte direkt aus dem Regiesterblatt "Verbraucher" übernommen werden. Bei älteren Situationserfassungen kann die Summe der einzelnen Werte übernommen werden.)</t>
  </si>
  <si>
    <t>Wärme-_x001F_bedarf inkl. Netzverluste</t>
  </si>
  <si>
    <t>Jährliche Abnahme des Wärmebedarfes. Durchschnittliche jährliche Abnahme des Wärmebedarfes  durch Effizienzmassnahmen (z.B. verbesserte Gebäudehüllen) der Wärmebezüger ab der Inbetriebnahme. Dieser Wert wird im Gesamtwärmebedarf berücksichtigt.</t>
  </si>
  <si>
    <t xml:space="preserve">Abnahme des Wärmebedarfes (Effizienzsteigerung) </t>
  </si>
  <si>
    <t xml:space="preserve">111: Der Wärmebezug ist zu klein! </t>
  </si>
  <si>
    <t xml:space="preserve">111: Der Wärmebezug ist zu gross. </t>
  </si>
  <si>
    <t xml:space="preserve">112: Der Verlust des Wärmenetzes ist zu niedrig! </t>
  </si>
  <si>
    <t xml:space="preserve">112: Der Verlust des Wärmenetzes ist zu hoch! </t>
  </si>
  <si>
    <t>112: Keine Netzverluste eingegeben.</t>
  </si>
  <si>
    <t xml:space="preserve">113: Die Abnahme des Wärmeabsatzes der Wärmebezüger ist negativ; Mehrverbrauch. </t>
  </si>
  <si>
    <t xml:space="preserve">113: Die jährliche Abnahme des Wärmeabsatzes ist sehr hoch. </t>
  </si>
  <si>
    <t>113: Keine jährliche Abnahme des Wärmeabsatzes eingegeben.</t>
  </si>
  <si>
    <t xml:space="preserve">114: Das Jahr des Projektbeginns liegt vor 2000. </t>
  </si>
  <si>
    <t xml:space="preserve">114: Das Jahr des Projektbeginns liegt nach 2100. </t>
  </si>
  <si>
    <t xml:space="preserve">115: Das Jahr Inbetriebnahme liegt vor dem Projektbeginn. </t>
  </si>
  <si>
    <t xml:space="preserve">115: Das Jahr der Inbetriebnahme liegt mehr als 3 Jahre nach dem Projektbeginn. Erste Wärmelieferung im Register Verbraucher anpassen. </t>
  </si>
  <si>
    <t xml:space="preserve">121: Der Rohstoffpreis (Biomasse) ist negativ angenommen. </t>
  </si>
  <si>
    <t xml:space="preserve">121: Der Rohstoffpreis (Biomasse) ist zu hoch. </t>
  </si>
  <si>
    <t xml:space="preserve">122: Der mit Biomasse erzeugte Anteil an der Jahreswärmemenge ist gering. </t>
  </si>
  <si>
    <t xml:space="preserve">122: Der mit Biomasse erzeugte Anteil an der Jahreswärmemenge ist zu hoch. </t>
  </si>
  <si>
    <t xml:space="preserve">124: Der Preis des fossilen Brennstoffs ist zu niedrig. </t>
  </si>
  <si>
    <t xml:space="preserve">124: Der angenommene Preis für den fossilen Brennstoff ist hoch. </t>
  </si>
  <si>
    <t xml:space="preserve">124: Der Preis für den fossilen Brennstoff liegt niedriger als der Biomassepreis. </t>
  </si>
  <si>
    <t xml:space="preserve">125: Der Jahresnutzungsgrad des Kessels ist unter 40 %. </t>
  </si>
  <si>
    <t xml:space="preserve">125: Der Jahresnutzungsgrad des Kessels ist über 98 %. </t>
  </si>
  <si>
    <t xml:space="preserve">126: Der spezifische Stromverbrauch wurde sehr niedrig angenommen. </t>
  </si>
  <si>
    <t xml:space="preserve">126: Der spezifische Stromverbrauch wurde sehr hoch angenommen. </t>
  </si>
  <si>
    <t xml:space="preserve">126: Der spezifische Stromverbrauch wurde Null gesetzt. </t>
  </si>
  <si>
    <t xml:space="preserve">127:Der Strompreis wurde sehr niedrig angenommen. </t>
  </si>
  <si>
    <t xml:space="preserve">127: Der Strompreis wurde sehr hoch angenommen. </t>
  </si>
  <si>
    <t xml:space="preserve">127: Der Strompreis ist Null. </t>
  </si>
  <si>
    <t xml:space="preserve">132: Die jährlichen Unterhaltskosten sind sehr niedrig. </t>
  </si>
  <si>
    <t xml:space="preserve">132: Die jährlichen Unterhaltskosten sind zu hoch. </t>
  </si>
  <si>
    <t xml:space="preserve">135: Die jährlichen Grundstückskosten wurden sehr klein angenommen. </t>
  </si>
  <si>
    <t xml:space="preserve">136: Die sonstigen Kosten wurden mit Null angenommen. </t>
  </si>
  <si>
    <t xml:space="preserve">136: Die sonstigen Kosten sind sehr hoch. </t>
  </si>
  <si>
    <t xml:space="preserve">136: Die sonstigen Kosten sind sehr niedrig. </t>
  </si>
  <si>
    <t xml:space="preserve">135: Die jährlichen Grundstückskosten sind sehr hoch. </t>
  </si>
  <si>
    <t xml:space="preserve">137: Die allgemeine Teuerung wurde sehr niedrig angenommen. </t>
  </si>
  <si>
    <t xml:space="preserve">137: Die allgemeine Teuerung wurde sehr hoch angenommen. </t>
  </si>
  <si>
    <t xml:space="preserve">151: Die Baukosten für die Heizzentrale sind sehr niedrig. </t>
  </si>
  <si>
    <t xml:space="preserve">151: Die Baukosten für die Heizzentrale sind sehr hoch. </t>
  </si>
  <si>
    <t xml:space="preserve">152: Die Kosten für holzspezifische Anlagenteile sind sehr niedrig. </t>
  </si>
  <si>
    <t xml:space="preserve">152: Die Kosten für holzspezifische Anlagenteile sind sehr hoch. </t>
  </si>
  <si>
    <t xml:space="preserve">153: Die Kosten für spitzenlastspezifische Anlagenteile sind sehr niedrig. </t>
  </si>
  <si>
    <t xml:space="preserve">153: Die Kosten für spitzenlastspezifische Anlagenteile sind sehr hoch. </t>
  </si>
  <si>
    <t xml:space="preserve">154: Die Kosten für die Installationen in der Zentrale sind sehr niedrig. </t>
  </si>
  <si>
    <t xml:space="preserve">154: Die Kosten für die Installationen in der Zentrale sind sehr hoch. </t>
  </si>
  <si>
    <t xml:space="preserve">155: Die Baukosten für das Wärmenetz sind sehr niedrig. </t>
  </si>
  <si>
    <t xml:space="preserve">155: Die Baukosten für das Wärmenetz sind sind sehr hoch. </t>
  </si>
  <si>
    <t xml:space="preserve">156: Die Kosten für die Wärmemessung sind sehr niedrig. </t>
  </si>
  <si>
    <t xml:space="preserve">156: Die Kosten für die Wärmemessung sind sind sehr hoch. </t>
  </si>
  <si>
    <t xml:space="preserve">157: Die Kosten für die Hausstationen sind sehr niedrig. </t>
  </si>
  <si>
    <t xml:space="preserve">157: Die Kosten für die Hausstationen sind sind sehr hoch. </t>
  </si>
  <si>
    <t xml:space="preserve">158: Die Kosten für Planung und Unvorhergesehenes sind sehr niedrig </t>
  </si>
  <si>
    <t xml:space="preserve">158: Die Kosten für Planung und Unvorhergesehenes sind sehr hoch. </t>
  </si>
  <si>
    <t xml:space="preserve">158: Die Kosten für Planung und Unvorhergesehenes sind unter 5% der Investitionskosten. </t>
  </si>
  <si>
    <t xml:space="preserve">159: Die Investitionskosten sind sehr niedrig </t>
  </si>
  <si>
    <t xml:space="preserve">159: Die Investitionskosten sind sehr hoch. </t>
  </si>
  <si>
    <t xml:space="preserve">166: Der Kreditanteil ist Null oder negativ. </t>
  </si>
  <si>
    <t xml:space="preserve">166: Der Kreditanteil ist höher als die gesamten Investitionskosten. </t>
  </si>
  <si>
    <t xml:space="preserve">167: Die Kreditlaufzeit ist zu kurz. </t>
  </si>
  <si>
    <t xml:space="preserve">167: Die Kreditlaufzeit darf nicht über 25 Jahren liegen! </t>
  </si>
  <si>
    <t>168: Das Startjahr der Finanzierung ist vor Projektbeginn.</t>
  </si>
  <si>
    <t>168: Das Startjahr der Finanzierung ist weit nach Projektbeginn.</t>
  </si>
  <si>
    <t xml:space="preserve">169: Der angegebene Kreditzinssatz ist sehr niedrig. </t>
  </si>
  <si>
    <t xml:space="preserve">169: Der Kreditzinssatz ist sehr hoch. </t>
  </si>
  <si>
    <t xml:space="preserve">172: Der eingegebene Förderbeitrag Paket 1 ist zu niedrig. </t>
  </si>
  <si>
    <t xml:space="preserve">172: Der eingegebene Förderbeitrag Paket 1 ist zu hoch. </t>
  </si>
  <si>
    <t xml:space="preserve">173: Die Förderauszahlung von Paket 1 kann erst nach Projektbeginn erfolgen! </t>
  </si>
  <si>
    <t xml:space="preserve">173: Die Förderauszahlung von Paket 1 wird mehr als 10 Jahre nach Projektbeginn angegeben! </t>
  </si>
  <si>
    <t xml:space="preserve">174: Der eingegebene Förderbeitrag Paket 2 ist zu niedrig. </t>
  </si>
  <si>
    <t xml:space="preserve">174: Der eingegebene Förderbeitrag Paket 2 ist zu hoch. </t>
  </si>
  <si>
    <t xml:space="preserve">175: Die Förderauszahlung von Paket 2 kann erst nach Projektbeginn erfolgen! </t>
  </si>
  <si>
    <t xml:space="preserve">175: Die Förderauszahlung von Paket 2 wird mehr als 10 Jahre nach Projektbeginn angegeben! </t>
  </si>
  <si>
    <t xml:space="preserve">177: Der eingegebene Förderbeitrag sehr niedrig. </t>
  </si>
  <si>
    <t xml:space="preserve">177: Der eingegebene Förderbeitrag ist zu hoch. </t>
  </si>
  <si>
    <t xml:space="preserve">178: Die Dauer der Förderung ist zu tief. </t>
  </si>
  <si>
    <t xml:space="preserve">178: Die Dauer der Förderung ist zu lang. </t>
  </si>
  <si>
    <t xml:space="preserve">179: Die Förderauszahlung kann erst nach Projektbeginn erfolgen! </t>
  </si>
  <si>
    <t xml:space="preserve">179: Die Förderauszahlung wird mehr als 10 Jahre nach Projektbeginn angegeben! </t>
  </si>
  <si>
    <t>Nominalzins</t>
  </si>
  <si>
    <t>Realzinssatz</t>
  </si>
  <si>
    <t>Wärmegestehungskosten</t>
  </si>
  <si>
    <t>Rp/kWh</t>
  </si>
  <si>
    <t>(ohne Förderung)</t>
  </si>
  <si>
    <t>Nominalzins: aktueller Nominalzinssatz</t>
  </si>
  <si>
    <t>Realzins: berechnet aus Nominalzinssatz (138) und mittlerer Teuerung (137)</t>
  </si>
  <si>
    <t xml:space="preserve">138: Der Nominalzinssatz wurde sehr hoch angenommen. </t>
  </si>
  <si>
    <t xml:space="preserve">138: Der nominale Zinssatz wurde negativ angenommen. </t>
  </si>
  <si>
    <t xml:space="preserve">139: Der Realzinssatz ist sehr hoch </t>
  </si>
  <si>
    <t xml:space="preserve">139: DerRealzinssatz ist negativ </t>
  </si>
  <si>
    <t>Jahreskosten / Wärmegestehungskosten</t>
  </si>
  <si>
    <t>Kapitalkosten Wärmeerzeugung</t>
  </si>
  <si>
    <t>Kapitalkosten Wärmeverteilung</t>
  </si>
  <si>
    <t>Wartung und Unterhalt Wärmeerzeugung</t>
  </si>
  <si>
    <t>Wartung und Unterhalt Wärmeverteilung</t>
  </si>
  <si>
    <t>Jahreskosten =  mittlere jährliche Kosten über die Projektlaufzeit
Wärmegestehungskosten = spezifiische Kosten je kWh abgegebener Nutzwärme, berechnet aus den Jahreskosten dividiert durch die abgegebenen Nutzwärme (Pkt. 111)</t>
  </si>
  <si>
    <t>Jahreskosten berechnt aus der Kapitalisierung der Investitionskosten für die Wärmeerzeugung inkl. Zentralengebäude best. aus den Punkten 151–154 und 50% der Planungskosten (Pkt. 158), dem Realzinssatz und der Abschreibedauer</t>
  </si>
  <si>
    <t>Jahreskosten berechnte aus der Kapitalisierung der Investitionskosten für die Wärmeverteilung inkl. Hausstationen best. aus den Punkten 155–157 und 50% der Planungskosten (Pkt. 158), dem Realzinssatz und der Abschreibedauer</t>
  </si>
  <si>
    <t>Wartungs- und Unterhaltskosten für die Wärmeerzeugung
Unterhaltskosten berechnet aus den Investionen aus Pkt. 151–154 + 50% aus Pkt. 158 und den spezifiischen Unterhaltskosten (Pkt. 142)
Wartungskosten berechnet aus dem Anteil der Unterhaltskosten für die Wärmeerzeugung an den Gesamtunterhaltskosten aus Pkt. 130, 131, 135 und 136</t>
  </si>
  <si>
    <t>Wartungs- und Unterhaltskosten für die Wärmeverteilung
Unterhaltskosten berechnet aus den Investionen aus Pkt. 155–157 + 50% aus Pkt. 158 und den spezifiischen Unterhaltskosten (Pkt. 142)
Wartungskosten berechnet aus dem Anteil der Unterhaltskosten für die Wärmeverteilung an den Gesamtunterhaltskosten aus Pkt. 130, 131, 135 und 136</t>
  </si>
  <si>
    <t>Jährliche Energiekosten berechnet aus Pkt. 185–187</t>
  </si>
  <si>
    <t>Personalkosten (für Bedienung, Reinigung, etc.)</t>
  </si>
  <si>
    <t>externe Betriebskosten (Service, Kaminfeger etc.)</t>
  </si>
  <si>
    <t>Sonstige Kosten (Verwaltung, Versicherungen etc.)</t>
  </si>
  <si>
    <t xml:space="preserve">130: Die jährlichen Personalkosten sind sehr niedrig. </t>
  </si>
  <si>
    <t xml:space="preserve">131: Der jährlichen externen Betriebskosten sind sehr niedrig. </t>
  </si>
  <si>
    <t xml:space="preserve">131: Die jährlichen externen Betriebskosten sind sehr hoch. </t>
  </si>
  <si>
    <t xml:space="preserve">130: Die jährlichen Personalkosten sind sehr hoch. </t>
  </si>
  <si>
    <r>
      <t xml:space="preserve">Prinzipielles zu diesem Werkzeug:
Haftungsausschluss
Das Excel-Werkzeug wurde sehr sorgfältig erstellt, trotzdem können die Hersteller keinerlei Garantie oder Gewährleistung für die ermittelten Ergebnisse und daraus abgeleitete Schlüsse übernehmen. Durch die getroffenen Vereinfachungen ergeben sich aufgrund der Art der Berechnung bestimmte "Fehler", z.B. wird nicht berücksichtigt, ob eine Zahlung zu Jahresbeginn oder Jahresende erfolgt, da ein Jahr als eine Periode angesehen wird.
Achtung: Auch wenn Warnungs-Rückmeldungen bezüglich diverser Eingabegrenzen durch das Werkzeug erfolgen, ist nicht auszuschliessen, dass durch falsche Eingabewerte eine falsche Darstellung des Endergebnisses erfolgt. Die richtige Abschätzung der Folgen bestimmter Annahmen obliegt dem Benutzer des Werkzeugs.
</t>
    </r>
    <r>
      <rPr>
        <sz val="10"/>
        <rFont val="Arial"/>
        <family val="2"/>
      </rPr>
      <t>Formeln:
Die Arbeitsblätter dieser Arbeitsmappe sind mit einem Schreibschutz gesichert, alle Formeln und Berechnungen sind jedoch ersichtlich. Bitte beachten Sie, dass Änderungen daran zu Fehlern an anderen Stellen und damit zu falschen Aussagen des Werkzeugs führen können.</t>
    </r>
    <r>
      <rPr>
        <b/>
        <sz val="10"/>
        <rFont val="Arial"/>
        <family val="2"/>
      </rPr>
      <t xml:space="preserve">
</t>
    </r>
    <r>
      <rPr>
        <sz val="10"/>
        <rFont val="Arial"/>
        <family val="2"/>
      </rPr>
      <t>Sensitivitätsanalyse / Was-Wäre-Wenn Rechnung:
Durch Variation der Eingabeparameter und Speicherung der einzelnen Ergebnisse der 
Wirtschaftlichkeitsberechnung ist es möglich, Aussagen bezüglich des Einflusses einzelner 
Parameter auf die wirtschaftliche Entwicklung des Projekts zu erhalten.</t>
    </r>
    <r>
      <rPr>
        <b/>
        <sz val="10"/>
        <rFont val="Arial"/>
        <family val="2"/>
      </rPr>
      <t xml:space="preserve">
</t>
    </r>
    <r>
      <rPr>
        <sz val="10"/>
        <rFont val="Arial"/>
        <family val="2"/>
      </rPr>
      <t>Feedback:
Das Team von QM Holzheizwerke freut sich über Verbesserungsvorschläge und Anregungen zu 
diesem Werkzeug, bitte übermitteln Sie diese an info@qmholzheizwerke.ch</t>
    </r>
  </si>
  <si>
    <r>
      <t xml:space="preserve">Dank
</t>
    </r>
    <r>
      <rPr>
        <sz val="10"/>
        <rFont val="Arial"/>
        <family val="2"/>
      </rPr>
      <t>Die Erstellung des vorliegenden Werkzeuges erfolgte im Auftrag von Energieschweiz.</t>
    </r>
  </si>
  <si>
    <r>
      <rPr>
        <b/>
        <sz val="10"/>
        <rFont val="Arial"/>
        <family val="2"/>
      </rPr>
      <t xml:space="preserve">Registerblätter: </t>
    </r>
    <r>
      <rPr>
        <sz val="10"/>
        <rFont val="Arial"/>
        <family val="2"/>
      </rPr>
      <t>Die Datei ist aufgeteilt auf verschiedene Registerblätter
Benennung: Die Benennung der Registerblätter unterscheidet auch die hauptsächliche Funktion des Arbeitsblattes:
I = Information (Arbeitsblatt enthält Infos und Erläuterungen zur Anwendung der Datei)
E = Eingabeblatt (Eingabe von Daten, die für die Berechnung notwendig sind)
B = Berechnung
A = Ausgabeblatt (Darstellung von ausgewählten Ergebnissen zum Drucken oder für den Datenexport)</t>
    </r>
  </si>
  <si>
    <r>
      <t xml:space="preserve">Registerblatt "E1_Projektdaten"
</t>
    </r>
    <r>
      <rPr>
        <sz val="10"/>
        <rFont val="Arial"/>
        <family val="2"/>
      </rPr>
      <t>Eingabe von Projektdaten, Termine, Investitionskosten, Förderung, Darlehen, Betriebskosten etc.</t>
    </r>
  </si>
  <si>
    <r>
      <t>Warnungen:</t>
    </r>
    <r>
      <rPr>
        <sz val="10"/>
        <rFont val="Arial"/>
        <family val="2"/>
      </rPr>
      <t xml:space="preserve"> Im Feld Warnungen erscheint ein kurzer Erläuterungstext, wenn bei der Eingabe unplausible Angaben gemacht werden (z.B. Netzverluste = 80% oder ähnlich)</t>
    </r>
  </si>
  <si>
    <r>
      <t>Anteil der verkauften Wärme, die mit Biomasse erzeugt wird in Prozent</t>
    </r>
    <r>
      <rPr>
        <b/>
        <sz val="10"/>
        <rFont val="Arial"/>
        <family val="2"/>
      </rPr>
      <t xml:space="preserve">.
</t>
    </r>
    <r>
      <rPr>
        <sz val="10"/>
        <rFont val="Arial"/>
        <family val="2"/>
      </rPr>
      <t>100% steht für eine monovalente Anlage, 85% wenn zum Beispiel 15% des Jahreswärmebedarfs mit einem fossilen Spitzenlastkessel erbracht wird.</t>
    </r>
  </si>
  <si>
    <r>
      <t>Preis des eingesetzten fossilen Brennstoffs (Heizöl oder Erdgas) in CHF/MWh (Primärenergie).</t>
    </r>
    <r>
      <rPr>
        <b/>
        <sz val="10"/>
        <rFont val="Arial"/>
        <family val="2"/>
      </rPr>
      <t xml:space="preserve"> </t>
    </r>
    <r>
      <rPr>
        <sz val="10"/>
        <rFont val="Arial"/>
        <family val="2"/>
      </rPr>
      <t>Sollte ein nicht-fossiler Brennstoff zur Spitzenlastabdeckung eingesetzt werden, muss dieser auch hier eingesetzt werden.</t>
    </r>
  </si>
  <si>
    <r>
      <t xml:space="preserve">Betriebskosten: Personalkosten </t>
    </r>
    <r>
      <rPr>
        <sz val="10"/>
        <rFont val="Arial"/>
        <family val="2"/>
      </rPr>
      <t>für Bedienung, Reinigung, Wartung ohne Verwaltungsaufwand
Vorgabewert = Richtwert QMH PHB: 1.5% der Investitionskosten Wärmeerzeugung (Pkt. 151–153)</t>
    </r>
  </si>
  <si>
    <r>
      <rPr>
        <b/>
        <sz val="10"/>
        <rFont val="Arial"/>
        <family val="2"/>
      </rPr>
      <t>externe Betriebskosten</t>
    </r>
    <r>
      <rPr>
        <sz val="10"/>
        <rFont val="Arial"/>
        <family val="2"/>
      </rPr>
      <t xml:space="preserve"> für Kaminfeger, Abgasmessung, Service-Verträge etc. (Ascheentsorgung, sofern nicht im Brennstoffpreis enthalten)</t>
    </r>
  </si>
  <si>
    <r>
      <rPr>
        <b/>
        <sz val="10"/>
        <rFont val="Arial"/>
        <family val="2"/>
      </rPr>
      <t>Unterhaltskosten</t>
    </r>
    <r>
      <rPr>
        <sz val="10"/>
        <rFont val="Arial"/>
        <family val="2"/>
      </rPr>
      <t>: Ersatzteile, Reparaturen (prozentualer Anteil der Investition gem. QMH, siehe ab Punkt 140)</t>
    </r>
  </si>
  <si>
    <r>
      <t xml:space="preserve">Jährliche Kosten für </t>
    </r>
    <r>
      <rPr>
        <b/>
        <sz val="10"/>
        <rFont val="Arial"/>
        <family val="2"/>
      </rPr>
      <t>Miete,  Pacht oder  Liegenschaft</t>
    </r>
    <r>
      <rPr>
        <sz val="10"/>
        <rFont val="Arial"/>
        <family val="2"/>
      </rPr>
      <t xml:space="preserve"> (effektive Kosten eintragen)</t>
    </r>
  </si>
  <si>
    <r>
      <t>Sonstige jährliche Kosten (</t>
    </r>
    <r>
      <rPr>
        <b/>
        <sz val="10"/>
        <rFont val="Arial"/>
        <family val="2"/>
      </rPr>
      <t>Verwaltung, Versicherung, Steuern</t>
    </r>
    <r>
      <rPr>
        <sz val="10"/>
        <rFont val="Arial"/>
        <family val="2"/>
      </rPr>
      <t>, Homepage, Telefonie, öffentliche Gebühren, ...... etc.)
Vorgabewert: 1% der Gesamtinvestition (Richtwert QMH PHB :0.5–1.5%)</t>
    </r>
  </si>
  <si>
    <r>
      <rPr>
        <b/>
        <sz val="10"/>
        <rFont val="Arial"/>
        <family val="2"/>
      </rPr>
      <t>Angaben zu Darlehen und Krediten zur Finanzierung des Projektes</t>
    </r>
    <r>
      <rPr>
        <sz val="10"/>
        <rFont val="Arial"/>
        <family val="2"/>
      </rPr>
      <t xml:space="preserve">
Es können zwei Kredite /  Darlehen eingetragen werden.</t>
    </r>
  </si>
  <si>
    <r>
      <t xml:space="preserve">Registerblatt "E2_Wärmepreis"
</t>
    </r>
    <r>
      <rPr>
        <sz val="10"/>
        <rFont val="Arial"/>
        <family val="2"/>
      </rPr>
      <t>Angaben zu den Wärmepreisen und Tarifbildung</t>
    </r>
  </si>
  <si>
    <r>
      <t xml:space="preserve">Registerblatt "E3_Verbraucher"
</t>
    </r>
    <r>
      <rPr>
        <sz val="10"/>
        <rFont val="Arial"/>
        <family val="2"/>
      </rPr>
      <t>Angaben zu den Wärmeverbrauchern (Wärmekunden) im Wärmeverbund</t>
    </r>
  </si>
  <si>
    <r>
      <rPr>
        <b/>
        <sz val="10"/>
        <rFont val="Arial"/>
        <family val="2"/>
      </rPr>
      <t>Eingaben Verbraucher</t>
    </r>
    <r>
      <rPr>
        <sz val="10"/>
        <rFont val="Arial"/>
        <family val="2"/>
      </rPr>
      <t xml:space="preserve">
In dieser Tabelle können für jeden Wärmekunden die entsprechenden Daten eingetragen werden. Diejenigen Angaben, die mit den Daten der Excel-Situationserfassung von QM Holzheizwerke korrespondieren (Pkt. 311 - 314)  können aus dieser Tabelle übernommen werden. Für die Übernahme der Daten werden die entsprechenden Zeilen kopiert und mit "Werte Einfügen" in die entsprechenden Zellen des Wirtschaftlichkeitsmodells eingefügt.
Achtung: Im Unterschied zur Excel-Datei Situationserfassung können in dieser Tabelle nur maximal 180 Objekte erfasst werden.
Hinweis: Um die Dateneingabe zu vereinfachen können auch die Summenwerte der jährlichen Ausbauetappen erfasst werden.</t>
    </r>
  </si>
  <si>
    <r>
      <rPr>
        <b/>
        <sz val="10"/>
        <rFont val="Arial"/>
        <family val="2"/>
      </rPr>
      <t>Registerblatt "B1_Berechnungen"
Kalkulationsblatt:</t>
    </r>
    <r>
      <rPr>
        <sz val="10"/>
        <rFont val="Arial"/>
        <family val="2"/>
      </rPr>
      <t xml:space="preserve"> Darstellung der vereinfachten finanziellen Entwicklung des Projekts innerhalb von 25 Jahren.
Die Abschnitte Betriebskosten bzw. Erlöse beziehen sich auf das Betriebsjahr 1 und 100% Auslastung (Was zumeist noch nicht erreicht wird!). Diese sollen helfen, die zu erwartenden Kosten- und Erlöse besser einschätzen zu können. </t>
    </r>
    <r>
      <rPr>
        <sz val="10"/>
        <color rgb="FFFF0000"/>
        <rFont val="Arial"/>
        <family val="2"/>
      </rPr>
      <t xml:space="preserve">
</t>
    </r>
    <r>
      <rPr>
        <sz val="10"/>
        <rFont val="Arial"/>
        <family val="2"/>
      </rPr>
      <t xml:space="preserve">Die Verfahren der dynamischen Investitionsrechnung berücksichtigen den Zahlungszeitpunkt der einzelnen Einnahmen und Ausgaben per Ende Jahr.
</t>
    </r>
    <r>
      <rPr>
        <sz val="10"/>
        <color rgb="FFFF0000"/>
        <rFont val="Calibri"/>
        <family val="2"/>
        <scheme val="minor"/>
      </rPr>
      <t/>
    </r>
  </si>
  <si>
    <r>
      <rPr>
        <b/>
        <sz val="10"/>
        <rFont val="Arial"/>
        <family val="2"/>
      </rPr>
      <t xml:space="preserve">Registerblatt "A1_Ergebnisse"
</t>
    </r>
    <r>
      <rPr>
        <sz val="10"/>
        <rFont val="Arial"/>
        <family val="2"/>
      </rPr>
      <t>In diesem Registerblatt sind die wichtigsten Ergebnisse zusammengefasst und ausgewertet</t>
    </r>
  </si>
  <si>
    <r>
      <rPr>
        <b/>
        <sz val="10"/>
        <rFont val="Arial"/>
        <family val="2"/>
      </rPr>
      <t>Investitionskosten:</t>
    </r>
    <r>
      <rPr>
        <sz val="10"/>
        <rFont val="Arial"/>
        <family val="2"/>
      </rPr>
      <t xml:space="preserve"> Zusammenstellung</t>
    </r>
  </si>
  <si>
    <r>
      <rPr>
        <b/>
        <sz val="10"/>
        <rFont val="Arial"/>
        <family val="2"/>
      </rPr>
      <t xml:space="preserve">Fremdfinanzierung und Fördergelder: </t>
    </r>
    <r>
      <rPr>
        <sz val="10"/>
        <rFont val="Arial"/>
        <family val="2"/>
      </rPr>
      <t>Zusammenstellung</t>
    </r>
  </si>
  <si>
    <r>
      <rPr>
        <b/>
        <sz val="10"/>
        <rFont val="Arial"/>
        <family val="2"/>
      </rPr>
      <t>Jahreskosten</t>
    </r>
    <r>
      <rPr>
        <sz val="10"/>
        <rFont val="Arial"/>
        <family val="2"/>
      </rPr>
      <t>: Die Auswertung erfolgt einerseits für das Jahr der Inbetriebnahme (Pkt. 115), andererseits für ein wählbares Jahr innerhalb des Betrachtungsraumes.</t>
    </r>
  </si>
  <si>
    <r>
      <rPr>
        <b/>
        <sz val="10"/>
        <rFont val="Arial"/>
        <family val="2"/>
      </rPr>
      <t xml:space="preserve">Auswertungen Energie: </t>
    </r>
    <r>
      <rPr>
        <sz val="10"/>
        <rFont val="Arial"/>
        <family val="2"/>
      </rPr>
      <t>Die Auswertungen erfolgen für die gleichen Betrachtungsräume wie in Pkt. 620 beschrieben</t>
    </r>
  </si>
  <si>
    <r>
      <rPr>
        <b/>
        <sz val="10"/>
        <rFont val="Arial"/>
        <family val="2"/>
      </rPr>
      <t>Return of Investment:</t>
    </r>
    <r>
      <rPr>
        <sz val="10"/>
        <rFont val="Arial"/>
        <family val="2"/>
      </rPr>
      <t xml:space="preserve"> Die Auswertung erfolgt einerseits auf dem unverzinsten Eigenkapital, anderseits auf eine wählbare Verzinsung.</t>
    </r>
  </si>
  <si>
    <r>
      <rPr>
        <b/>
        <sz val="10"/>
        <rFont val="Arial"/>
        <family val="2"/>
      </rPr>
      <t>Bemerkungen:</t>
    </r>
    <r>
      <rPr>
        <sz val="10"/>
        <rFont val="Arial"/>
        <family val="2"/>
      </rPr>
      <t xml:space="preserve"> Feld für die Eingabe von Bemerkungen und Interpretationen.</t>
    </r>
  </si>
  <si>
    <r>
      <rPr>
        <b/>
        <sz val="10"/>
        <rFont val="Arial"/>
        <family val="2"/>
      </rPr>
      <t>Registerblatt NPV-Daten</t>
    </r>
    <r>
      <rPr>
        <sz val="10"/>
        <rFont val="Arial"/>
        <family val="2"/>
      </rPr>
      <t xml:space="preserve">
Exportvorlage für NPV-Rechner: Das Registerblatt stellt diejenigen Daten aus dem Tool zusammen, die für die Berechnung des NPV benötigt werden. Die Darstellung ist an das  KliK-Tool "Tool für den Nachweis der Zusätzlichkeit von Fernwärmeprojekten" (Version 3.2 vom 10. Februar 2016) angepasst.
Angaben für das KliK-Tool, die nicht aus der vorliegenden Datei übernommen werden können, sind im Export nicht enthalten.
Änderungen im Tool oder andere Ansichten werden durch das QMH-Wirtschaftlichkeits-Tool nicht automatisch geändert.</t>
    </r>
  </si>
  <si>
    <r>
      <t xml:space="preserve">KliK-Register </t>
    </r>
    <r>
      <rPr>
        <b/>
        <sz val="10"/>
        <rFont val="Arial"/>
        <family val="2"/>
      </rPr>
      <t>Inputgrössen</t>
    </r>
  </si>
  <si>
    <r>
      <rPr>
        <b/>
        <sz val="10"/>
        <rFont val="Arial"/>
        <family val="2"/>
      </rPr>
      <t>Schlüsselkunden:</t>
    </r>
    <r>
      <rPr>
        <sz val="10"/>
        <rFont val="Arial"/>
        <family val="2"/>
      </rPr>
      <t xml:space="preserve"> Die Daten der Spalten "Bezeichnung", "Leistung" und "Jahreswärmebedarf"  werden aus dem Registerblatt "E3_Verbraucher" übernommen. Die Spalte "Gebäudetyp &amp; Bezugscharakteristik" muss noch nachgeführt werden.
Achtung: Das KliK-Tool verfügt lediglich über 15 Verbraucher. Es werden die ersten 15 Verbraucher übernommen. Bei mehr Verbrauchern sind die Verbraucher zu gruppieren, so dass der Gesamtverbrauch abgedeckt ist.</t>
    </r>
  </si>
  <si>
    <r>
      <rPr>
        <b/>
        <sz val="10"/>
        <rFont val="Arial"/>
        <family val="2"/>
      </rPr>
      <t>Schlüsselkunden:</t>
    </r>
    <r>
      <rPr>
        <sz val="10"/>
        <rFont val="Arial"/>
        <family val="2"/>
      </rPr>
      <t xml:space="preserve"> Die Daten der Spalten "Jahr Anschluss"  werden aus dem Registerblatt "E3_Verbraucher" übernommen. Die Spalte "Leistung im Vollausbau" übernimmt die Werte aus der Spalte "Leistung" von Pkt. 911. Die Werte können überschrieben werten.
Achtung: Das Überschreiben der Zelle löscht die Formel.</t>
    </r>
  </si>
  <si>
    <r>
      <t xml:space="preserve">KliK-Register </t>
    </r>
    <r>
      <rPr>
        <b/>
        <sz val="10"/>
        <rFont val="Arial"/>
        <family val="2"/>
      </rPr>
      <t>Wärmebezug;</t>
    </r>
    <r>
      <rPr>
        <sz val="10"/>
        <rFont val="Arial"/>
        <family val="2"/>
      </rPr>
      <t xml:space="preserve"> Abschnitt </t>
    </r>
    <r>
      <rPr>
        <b/>
        <sz val="10"/>
        <rFont val="Arial"/>
        <family val="2"/>
      </rPr>
      <t>Referenzentwicklung</t>
    </r>
  </si>
  <si>
    <r>
      <rPr>
        <b/>
        <sz val="10"/>
        <rFont val="Arial"/>
        <family val="2"/>
      </rPr>
      <t>Wärmebezug:</t>
    </r>
    <r>
      <rPr>
        <sz val="10"/>
        <rFont val="Arial"/>
        <family val="2"/>
      </rPr>
      <t xml:space="preserve"> Der Nutzwärmebedarf wird in Abhängigkeit des Anschlusszeitpunktes aus dem Registerblatt "E3_Verbruacher" übernommen
Im Unterschied zum vorliegenden Tool beträgt der Betrachtungszeitraum 15 Jahre.</t>
    </r>
  </si>
  <si>
    <r>
      <rPr>
        <b/>
        <sz val="10"/>
        <rFont val="Arial"/>
        <family val="2"/>
      </rPr>
      <t xml:space="preserve">Elektrizitätsverbrauch: </t>
    </r>
    <r>
      <rPr>
        <sz val="10"/>
        <rFont val="Arial"/>
        <family val="2"/>
      </rPr>
      <t>Der Strombedarf als Hilfsenergie wird aus dem Registerblatt "B1_Berechnungen" (Pkt. 556) übernommen.</t>
    </r>
  </si>
  <si>
    <r>
      <rPr>
        <b/>
        <sz val="10"/>
        <rFont val="Arial"/>
        <family val="2"/>
      </rPr>
      <t xml:space="preserve">Fernwärmenetz (40a): </t>
    </r>
    <r>
      <rPr>
        <sz val="10"/>
        <rFont val="Arial"/>
        <family val="2"/>
      </rPr>
      <t>Die Investitionskosten für das Wärmenetz werden aus dem Registerblatt "B1_Berechnungen" übernommen. Die Aufteilung der jährlichen Kosten Fernwärmenetz / Heizzentrale erfolgt im Verhältnis der Gesamtinvestitionskosten.
Achtung: Aufwendungen aus der Spalte "übrige Aufwendungen" (Pkt. 651) werden nicht automatisch ins Registerblatt "A2_NPV-Daten" übernommen. Sie müssen manuell an die richtigen Stelle  übertragen werden!</t>
    </r>
  </si>
  <si>
    <r>
      <rPr>
        <b/>
        <sz val="10"/>
        <rFont val="Arial"/>
        <family val="2"/>
      </rPr>
      <t xml:space="preserve">Heizzentrale bzw. dezentrale Wärmesysteme (15 Jahre): </t>
    </r>
    <r>
      <rPr>
        <sz val="10"/>
        <rFont val="Arial"/>
        <family val="2"/>
      </rPr>
      <t>Die Investitionskosten für die Heizzentrale werden aus dem Registerblatt "B1_Berechnungen" übernommen. Die Aufteilung der jährlichen Kosten Fernwärmenetz / Heizzentrale erfolgt im Verhältnis der Gesamtinvestitionskosten.
Achtung: Aufwendungen aus der Spalte "übrige Aufwendungen" (Pkt. 651) werden nicht automatisch ins Registerblatt "A2_NPV-Daten" übernommen. Sie müssen manuell an die richtigen Stelle  übertragen werden!</t>
    </r>
  </si>
  <si>
    <r>
      <rPr>
        <b/>
        <sz val="10"/>
        <rFont val="Arial"/>
        <family val="2"/>
      </rPr>
      <t>Betrieb und Unterhalt:</t>
    </r>
    <r>
      <rPr>
        <sz val="10"/>
        <rFont val="Arial"/>
        <family val="2"/>
      </rPr>
      <t xml:space="preserve"> Die Jahreskosten für Betrieb und Unterhalt werden aus dem Registerblatt "B1_Berechnungen" (Punkte 557, 558 und 559) übernommen.
Achtung: Aufwendungen aus der Spalte "übrige Aufwendungen" (Pkt. 651) werden nicht automatisch ins Registerblatt "A2_NPV-Daten" übernommen. Sie müssen manuell an die richtigen Stelle  übertragen werden!</t>
    </r>
  </si>
  <si>
    <r>
      <rPr>
        <b/>
        <sz val="10"/>
        <rFont val="Arial"/>
        <family val="2"/>
      </rPr>
      <t>Energiekosten</t>
    </r>
    <r>
      <rPr>
        <sz val="10"/>
        <rFont val="Arial"/>
        <family val="2"/>
      </rPr>
      <t>: Die Energiekosten werden aus dem Registerblatt "B1_Berechnungen" (Punkte 554, 555 und 556) übernommen.
Achtung: Aufwendungen aus der Spalte "übrige Aufwendungen" (Pkt. 651) werden nicht automatisch ins Registerblatt "A2_NPV-Daten" übernommen. Sie müssen manuell an die richtigen Stelle  übertragen werden!</t>
    </r>
  </si>
  <si>
    <r>
      <rPr>
        <b/>
        <sz val="10"/>
        <rFont val="Arial"/>
        <family val="2"/>
      </rPr>
      <t xml:space="preserve">Anschlussbeiträge / einmalige Erträge: </t>
    </r>
    <r>
      <rPr>
        <sz val="10"/>
        <rFont val="Arial"/>
        <family val="2"/>
      </rPr>
      <t>Die Anschlussbeiträge werden aus dem Registerblatt "B1_Berechnungen" (Pkt. 572) übernommen.
Achtung: Aufwendungen aus der Spalte "übrige Aufwendungen" (Pkt. 651) werden nicht automatisch ins Registerblatt "A2_NPV-Daten" übernommen. Sie müssen manuell an die richtigen Stelle  übertragen werden!</t>
    </r>
  </si>
  <si>
    <r>
      <rPr>
        <b/>
        <sz val="10"/>
        <rFont val="Arial"/>
        <family val="2"/>
      </rPr>
      <t>Wärmeverkauf / wiederkehrende Erträge:</t>
    </r>
    <r>
      <rPr>
        <sz val="10"/>
        <rFont val="Arial"/>
        <family val="2"/>
      </rPr>
      <t xml:space="preserve"> Die Erträge aus dem Wärmeverkauf werden aus dem Registerblatt "B1_Berechnungen" (Pkt. 571) übernommen.
Achtung: Aufwendungen aus der Spalte "übrige Aufwendungen" (Pkt. 651) werden nicht automatisch ins Registerblatt "A2_NPV-Daten" übernommen. Sie müssen manuell an die richtigen Stelle  übertragen werden!</t>
    </r>
  </si>
  <si>
    <r>
      <rPr>
        <b/>
        <sz val="10"/>
        <rFont val="Arial"/>
        <family val="2"/>
      </rPr>
      <t xml:space="preserve">Förderbeiträge Dritter (Kanton, Bund, Gemeinde): </t>
    </r>
    <r>
      <rPr>
        <sz val="10"/>
        <rFont val="Arial"/>
        <family val="2"/>
      </rPr>
      <t>Die Auszahlung der einmaligen Fördergelder werden aus dem Registerblatt "E1_Projektdaten" (Punkte 172 und 174) übernommen und im entsprechenden Auszahlungsjahr (Punkte 173 und 175) eingetragen.
Hinweis: Mehrjährige Förderungen (ausser KliK-Beträge) müssen manuell nachgetragen werden!</t>
    </r>
  </si>
  <si>
    <r>
      <rPr>
        <b/>
        <sz val="10"/>
        <rFont val="Arial"/>
        <family val="2"/>
      </rPr>
      <t>nicht eingerechneter Aufwand und Ertrag:</t>
    </r>
    <r>
      <rPr>
        <sz val="10"/>
        <rFont val="Arial"/>
        <family val="2"/>
      </rPr>
      <t xml:space="preserve">
Die Beträge aus den Spalten "Zusätzlicher Aufwand" (Pkt. 561) und "Zusätzlicher Ertrag" (Pkt. 574) werden hier ausgewiesen. Da bei diesen Beträge nicht definiert ist, welchen Zeilen sie zuzuordnen sind, müssen die Beträge vor dem Export manuell in den entsprechenden Feldern ergänzt werden.</t>
    </r>
  </si>
  <si>
    <r>
      <t>MWh</t>
    </r>
    <r>
      <rPr>
        <vertAlign val="subscript"/>
        <sz val="10"/>
        <rFont val="Arial"/>
        <family val="2"/>
      </rPr>
      <t>el</t>
    </r>
  </si>
  <si>
    <r>
      <t>kWh</t>
    </r>
    <r>
      <rPr>
        <vertAlign val="subscript"/>
        <sz val="10"/>
        <rFont val="Arial"/>
        <family val="2"/>
      </rPr>
      <t>el</t>
    </r>
  </si>
  <si>
    <t>Erläuterungen zum QM Holzheizwerke Wirtschaftlichkeitstool</t>
  </si>
  <si>
    <t>Reduktion der Jahreskosten aufgrund der Förderund. Die Summe der Förderungen aus Pkt. 172, 174 und 177 x 178 kapitalisiert über 25 Jahre.</t>
  </si>
  <si>
    <t>Summe der Jahreskosten und Wärmegestehungskosten aus Pkt. 193–197 resp. mit Berücksichtigung der Förderung inkl. Pkt. 199</t>
  </si>
  <si>
    <t>Förderung (über 25 Jahre kapitalisiert)</t>
  </si>
  <si>
    <t>Jahreskosten inkl. Förderung</t>
  </si>
  <si>
    <t>Version: 5.1 (Juni 2022)</t>
  </si>
  <si>
    <t>QMH Beispielprojekt 2</t>
  </si>
  <si>
    <t>Adresszeile</t>
  </si>
  <si>
    <t>PLZ  Ort</t>
  </si>
  <si>
    <t>Datum, ErstellerIn</t>
  </si>
  <si>
    <t>Private</t>
  </si>
  <si>
    <t>Gewerbe</t>
  </si>
  <si>
    <t>Grossabnehmer</t>
  </si>
  <si>
    <t>Netzteil 1</t>
  </si>
  <si>
    <t>Kunde 2</t>
  </si>
  <si>
    <t>Kunde 3</t>
  </si>
  <si>
    <t>Kunde 4</t>
  </si>
  <si>
    <t>Kunde 5</t>
  </si>
  <si>
    <t>Kunde 6</t>
  </si>
  <si>
    <t>14 EFH+DEFH</t>
  </si>
  <si>
    <t>MFH</t>
  </si>
  <si>
    <t>EFH</t>
  </si>
  <si>
    <t>Restaurant</t>
  </si>
  <si>
    <t>Gemeindebauten</t>
  </si>
  <si>
    <t>T 3: Grossabnehmer</t>
  </si>
  <si>
    <t>T 2: Gewerbe</t>
  </si>
  <si>
    <t>T 1: Private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</si>
</sst>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64" formatCode="_-* #,##0.00\ _€_-;\-* #,##0.00\ _€_-;_-* &quot;-&quot;??\ _€_-;_-@_-"/>
    <numFmt numFmtId="165" formatCode="_-&quot;€&quot;\ * #,##0.00_-;\-&quot;€&quot;\ * #,##0.00_-;_-&quot;€&quot;\ * &quot;-&quot;??_-;_-@_-"/>
    <numFmt numFmtId="166" formatCode="#,##0.000"/>
    <numFmt numFmtId="167" formatCode="0.00000"/>
    <numFmt numFmtId="168" formatCode="0.0000"/>
    <numFmt numFmtId="169" formatCode="yyyy"/>
    <numFmt numFmtId="170" formatCode="#,##0_ ;\-#,##0\ "/>
    <numFmt numFmtId="171" formatCode="0_ ;\-0\ "/>
    <numFmt numFmtId="172" formatCode="0.0"/>
    <numFmt numFmtId="173" formatCode="_ * #,##0.0_ ;_ * \-#,##0.0_ ;_ * &quot;-&quot;?_ ;_ @_ "/>
    <numFmt numFmtId="174" formatCode="0.0%"/>
    <numFmt numFmtId="175" formatCode="0.000"/>
  </numFmts>
  <fonts count="25" x14ac:knownFonts="1">
    <font>
      <sz val="11"/>
      <color theme="1"/>
      <name val="Calibri"/>
      <family val="2"/>
      <scheme val="minor"/>
    </font>
    <font>
      <sz val="10"/>
      <color theme="1"/>
      <name val="Arial"/>
      <family val="2"/>
    </font>
    <font>
      <sz val="10"/>
      <name val="Arial"/>
      <family val="2"/>
    </font>
    <font>
      <b/>
      <sz val="10"/>
      <name val="Arial"/>
      <family val="2"/>
    </font>
    <font>
      <b/>
      <sz val="8"/>
      <color indexed="81"/>
      <name val="Tahoma"/>
      <family val="2"/>
    </font>
    <font>
      <sz val="10"/>
      <color indexed="22"/>
      <name val="Arial"/>
      <family val="2"/>
    </font>
    <font>
      <u/>
      <sz val="10"/>
      <color indexed="12"/>
      <name val="Arial"/>
      <family val="2"/>
    </font>
    <font>
      <sz val="11"/>
      <color indexed="8"/>
      <name val="Calibri"/>
      <family val="2"/>
    </font>
    <font>
      <sz val="8"/>
      <name val="Calibri"/>
      <family val="2"/>
    </font>
    <font>
      <sz val="11"/>
      <color theme="1"/>
      <name val="Arial"/>
      <family val="2"/>
    </font>
    <font>
      <sz val="11"/>
      <color theme="1"/>
      <name val="Calibri"/>
      <family val="2"/>
      <scheme val="minor"/>
    </font>
    <font>
      <sz val="10"/>
      <color rgb="FFFF0000"/>
      <name val="Calibri"/>
      <family val="2"/>
      <scheme val="minor"/>
    </font>
    <font>
      <u/>
      <sz val="10"/>
      <color indexed="12"/>
      <name val="Calibri"/>
      <family val="2"/>
      <scheme val="minor"/>
    </font>
    <font>
      <b/>
      <sz val="10"/>
      <color indexed="22"/>
      <name val="Arial"/>
      <family val="2"/>
    </font>
    <font>
      <sz val="10"/>
      <color rgb="FFFF0000"/>
      <name val="Arial"/>
      <family val="2"/>
    </font>
    <font>
      <b/>
      <sz val="10"/>
      <color theme="1"/>
      <name val="Arial"/>
      <family val="2"/>
    </font>
    <font>
      <sz val="10"/>
      <color theme="0" tint="-0.34998626667073579"/>
      <name val="Arial"/>
      <family val="2"/>
    </font>
    <font>
      <sz val="10"/>
      <color theme="0" tint="-0.249977111117893"/>
      <name val="Arial"/>
      <family val="2"/>
    </font>
    <font>
      <u/>
      <sz val="10"/>
      <color theme="10"/>
      <name val="Arial"/>
      <family val="2"/>
    </font>
    <font>
      <b/>
      <sz val="10"/>
      <color indexed="8"/>
      <name val="Arial"/>
      <family val="2"/>
    </font>
    <font>
      <sz val="10"/>
      <color indexed="8"/>
      <name val="Arial"/>
      <family val="2"/>
    </font>
    <font>
      <b/>
      <sz val="10"/>
      <color rgb="FFFF0000"/>
      <name val="Arial"/>
      <family val="2"/>
    </font>
    <font>
      <sz val="10"/>
      <color indexed="55"/>
      <name val="Arial"/>
      <family val="2"/>
    </font>
    <font>
      <vertAlign val="subscript"/>
      <sz val="10"/>
      <name val="Arial"/>
      <family val="2"/>
    </font>
    <font>
      <b/>
      <sz val="14"/>
      <color theme="4"/>
      <name val="Arial"/>
      <family val="2"/>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9BC2CA"/>
        <bgColor indexed="64"/>
      </patternFill>
    </fill>
    <fill>
      <patternFill patternType="solid">
        <fgColor rgb="FFBDD9DE"/>
        <bgColor indexed="64"/>
      </patternFill>
    </fill>
    <fill>
      <patternFill patternType="solid">
        <fgColor rgb="FFF5D992"/>
        <bgColor indexed="64"/>
      </patternFill>
    </fill>
    <fill>
      <patternFill patternType="solid">
        <fgColor theme="0" tint="-0.14999847407452621"/>
        <bgColor indexed="64"/>
      </patternFill>
    </fill>
    <fill>
      <patternFill patternType="solid">
        <fgColor rgb="FFD8E4BC"/>
        <bgColor indexed="64"/>
      </patternFill>
    </fill>
    <fill>
      <patternFill patternType="solid">
        <fgColor rgb="FFFFFF00"/>
        <bgColor indexed="64"/>
      </patternFill>
    </fill>
    <fill>
      <patternFill patternType="solid">
        <fgColor theme="6" tint="0.79998168889431442"/>
        <bgColor indexed="64"/>
      </patternFill>
    </fill>
  </fills>
  <borders count="52">
    <border>
      <left/>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right/>
      <top style="thin">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style="thin">
        <color indexed="64"/>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indexed="64"/>
      </right>
      <top style="hair">
        <color auto="1"/>
      </top>
      <bottom style="thin">
        <color auto="1"/>
      </bottom>
      <diagonal/>
    </border>
    <border>
      <left style="thin">
        <color indexed="64"/>
      </left>
      <right/>
      <top/>
      <bottom style="thin">
        <color auto="1"/>
      </bottom>
      <diagonal/>
    </border>
    <border>
      <left style="thin">
        <color indexed="64"/>
      </left>
      <right/>
      <top/>
      <bottom/>
      <diagonal/>
    </border>
  </borders>
  <cellStyleXfs count="10">
    <xf numFmtId="0" fontId="0" fillId="0" borderId="0"/>
    <xf numFmtId="165" fontId="2" fillId="0" borderId="0" applyFont="0" applyFill="0" applyBorder="0" applyAlignment="0" applyProtection="0"/>
    <xf numFmtId="0" fontId="12" fillId="0" borderId="0" applyNumberFormat="0" applyFill="0" applyBorder="0" applyAlignment="0" applyProtection="0">
      <alignment vertical="top"/>
      <protection locked="0"/>
    </xf>
    <xf numFmtId="164"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9" fillId="0" borderId="0"/>
    <xf numFmtId="41" fontId="10" fillId="0" borderId="0" applyFont="0" applyFill="0" applyBorder="0" applyAlignment="0" applyProtection="0"/>
    <xf numFmtId="41" fontId="10" fillId="0" borderId="0" applyFont="0" applyFill="0" applyBorder="0" applyAlignment="0" applyProtection="0"/>
  </cellStyleXfs>
  <cellXfs count="388">
    <xf numFmtId="0" fontId="0" fillId="0" borderId="0" xfId="0"/>
    <xf numFmtId="0" fontId="2" fillId="0" borderId="0" xfId="5" applyFont="1" applyProtection="1"/>
    <xf numFmtId="0" fontId="5" fillId="0" borderId="0" xfId="5" applyFont="1" applyProtection="1"/>
    <xf numFmtId="0" fontId="6" fillId="0" borderId="0" xfId="2" applyFont="1" applyAlignment="1" applyProtection="1"/>
    <xf numFmtId="0" fontId="2" fillId="0" borderId="0" xfId="5" applyFont="1" applyFill="1" applyAlignment="1" applyProtection="1">
      <alignment horizontal="center"/>
    </xf>
    <xf numFmtId="0" fontId="3" fillId="0" borderId="0" xfId="5" applyFont="1" applyFill="1" applyProtection="1"/>
    <xf numFmtId="168" fontId="5" fillId="0" borderId="0" xfId="5" applyNumberFormat="1" applyFont="1" applyProtection="1"/>
    <xf numFmtId="3" fontId="2" fillId="0" borderId="0" xfId="5" applyNumberFormat="1" applyFont="1" applyFill="1" applyProtection="1"/>
    <xf numFmtId="3" fontId="2" fillId="0" borderId="0" xfId="5" applyNumberFormat="1" applyFont="1" applyProtection="1"/>
    <xf numFmtId="4" fontId="2" fillId="0" borderId="0" xfId="5" applyNumberFormat="1" applyFont="1" applyProtection="1"/>
    <xf numFmtId="0" fontId="3" fillId="0" borderId="0" xfId="5" applyFont="1" applyProtection="1"/>
    <xf numFmtId="2" fontId="3" fillId="0" borderId="0" xfId="5" applyNumberFormat="1" applyFont="1" applyFill="1" applyProtection="1"/>
    <xf numFmtId="0" fontId="13" fillId="0" borderId="0" xfId="5" applyFont="1" applyProtection="1"/>
    <xf numFmtId="0" fontId="1" fillId="0" borderId="0" xfId="0" applyFont="1"/>
    <xf numFmtId="0" fontId="1" fillId="6" borderId="0" xfId="0" applyFont="1" applyFill="1"/>
    <xf numFmtId="0" fontId="15" fillId="4" borderId="0" xfId="0" applyNumberFormat="1" applyFont="1" applyFill="1" applyBorder="1" applyAlignment="1" applyProtection="1">
      <alignment horizontal="left" vertical="top"/>
    </xf>
    <xf numFmtId="0" fontId="15" fillId="4" borderId="0" xfId="0" applyNumberFormat="1" applyFont="1" applyFill="1" applyBorder="1" applyAlignment="1" applyProtection="1">
      <alignment vertical="top"/>
    </xf>
    <xf numFmtId="0" fontId="18" fillId="5" borderId="0" xfId="2" applyNumberFormat="1" applyFont="1" applyFill="1" applyBorder="1" applyAlignment="1" applyProtection="1">
      <alignment horizontal="center" vertical="top"/>
    </xf>
    <xf numFmtId="0" fontId="15" fillId="5" borderId="0" xfId="0" applyNumberFormat="1" applyFont="1" applyFill="1" applyBorder="1" applyAlignment="1" applyProtection="1">
      <alignment vertical="top"/>
    </xf>
    <xf numFmtId="0" fontId="15" fillId="0" borderId="0" xfId="0" applyNumberFormat="1" applyFont="1" applyBorder="1" applyAlignment="1" applyProtection="1">
      <alignment horizontal="center" vertical="top"/>
    </xf>
    <xf numFmtId="0" fontId="1" fillId="6" borderId="35" xfId="0" applyNumberFormat="1" applyFont="1" applyFill="1" applyBorder="1" applyAlignment="1" applyProtection="1">
      <alignment vertical="top"/>
      <protection locked="0"/>
    </xf>
    <xf numFmtId="3" fontId="1" fillId="6" borderId="35" xfId="0" applyNumberFormat="1" applyFont="1" applyFill="1" applyBorder="1" applyAlignment="1" applyProtection="1">
      <alignment vertical="top"/>
      <protection locked="0"/>
    </xf>
    <xf numFmtId="0" fontId="15" fillId="5" borderId="0" xfId="0" applyNumberFormat="1" applyFont="1" applyFill="1" applyBorder="1" applyAlignment="1" applyProtection="1">
      <alignment vertical="top" wrapText="1"/>
    </xf>
    <xf numFmtId="0" fontId="1" fillId="0" borderId="0" xfId="0" applyNumberFormat="1" applyFont="1" applyBorder="1" applyAlignment="1" applyProtection="1">
      <alignment vertical="top" wrapText="1"/>
    </xf>
    <xf numFmtId="0" fontId="1" fillId="0" borderId="35" xfId="0" applyNumberFormat="1" applyFont="1" applyBorder="1" applyAlignment="1" applyProtection="1">
      <alignment vertical="top"/>
    </xf>
    <xf numFmtId="0" fontId="1" fillId="0" borderId="35" xfId="0" applyNumberFormat="1" applyFont="1" applyBorder="1" applyAlignment="1" applyProtection="1">
      <alignment vertical="top" wrapText="1"/>
    </xf>
    <xf numFmtId="0" fontId="1" fillId="0" borderId="35" xfId="0" applyNumberFormat="1" applyFont="1" applyFill="1" applyBorder="1" applyAlignment="1" applyProtection="1">
      <alignment vertical="top"/>
    </xf>
    <xf numFmtId="0" fontId="15" fillId="4" borderId="0" xfId="0" applyNumberFormat="1" applyFont="1" applyFill="1" applyAlignment="1" applyProtection="1">
      <alignment vertical="top"/>
    </xf>
    <xf numFmtId="1" fontId="15" fillId="4" borderId="0" xfId="0" applyNumberFormat="1" applyFont="1" applyFill="1" applyAlignment="1" applyProtection="1">
      <alignment vertical="top"/>
    </xf>
    <xf numFmtId="0" fontId="15" fillId="5" borderId="0" xfId="0" applyNumberFormat="1" applyFont="1" applyFill="1" applyAlignment="1" applyProtection="1">
      <alignment vertical="top"/>
    </xf>
    <xf numFmtId="0" fontId="3" fillId="0" borderId="0" xfId="0" applyNumberFormat="1" applyFont="1" applyFill="1" applyAlignment="1" applyProtection="1">
      <alignment vertical="top"/>
    </xf>
    <xf numFmtId="0" fontId="15" fillId="0" borderId="0" xfId="0" applyNumberFormat="1" applyFont="1" applyFill="1" applyAlignment="1" applyProtection="1">
      <alignment vertical="top"/>
    </xf>
    <xf numFmtId="0" fontId="1" fillId="0" borderId="0" xfId="0" applyNumberFormat="1" applyFont="1" applyFill="1" applyAlignment="1" applyProtection="1">
      <alignment vertical="top"/>
    </xf>
    <xf numFmtId="0" fontId="1" fillId="0" borderId="0" xfId="0" applyNumberFormat="1" applyFont="1" applyAlignment="1" applyProtection="1">
      <alignment vertical="top"/>
    </xf>
    <xf numFmtId="0" fontId="15" fillId="4" borderId="0" xfId="0" applyFont="1" applyFill="1" applyBorder="1" applyAlignment="1" applyProtection="1">
      <alignment vertical="top"/>
    </xf>
    <xf numFmtId="0" fontId="15" fillId="4" borderId="0" xfId="0" applyFont="1" applyFill="1" applyAlignment="1" applyProtection="1">
      <alignment vertical="top"/>
    </xf>
    <xf numFmtId="0" fontId="15" fillId="0" borderId="0" xfId="0" applyFont="1" applyFill="1" applyAlignment="1" applyProtection="1">
      <alignment vertical="top"/>
    </xf>
    <xf numFmtId="0" fontId="15" fillId="5" borderId="0" xfId="0" applyFont="1" applyFill="1" applyAlignment="1" applyProtection="1">
      <alignment vertical="top"/>
    </xf>
    <xf numFmtId="49" fontId="15" fillId="0" borderId="0" xfId="0" applyNumberFormat="1" applyFont="1" applyFill="1" applyBorder="1" applyAlignment="1" applyProtection="1">
      <alignment vertical="top"/>
    </xf>
    <xf numFmtId="0" fontId="1" fillId="0" borderId="0" xfId="0" applyFont="1" applyBorder="1" applyAlignment="1" applyProtection="1">
      <alignment vertical="top"/>
    </xf>
    <xf numFmtId="3" fontId="1" fillId="7" borderId="35" xfId="0" applyNumberFormat="1" applyFont="1" applyFill="1" applyBorder="1" applyAlignment="1" applyProtection="1">
      <alignment vertical="top"/>
      <protection hidden="1"/>
    </xf>
    <xf numFmtId="49" fontId="1" fillId="0" borderId="0" xfId="0" applyNumberFormat="1" applyFont="1" applyFill="1" applyBorder="1" applyAlignment="1" applyProtection="1">
      <alignment horizontal="left" vertical="top"/>
    </xf>
    <xf numFmtId="49" fontId="15" fillId="0" borderId="0" xfId="0" applyNumberFormat="1" applyFont="1" applyFill="1" applyAlignment="1" applyProtection="1">
      <alignment vertical="top"/>
    </xf>
    <xf numFmtId="3" fontId="1" fillId="0" borderId="36" xfId="0" applyNumberFormat="1" applyFont="1" applyFill="1" applyBorder="1" applyAlignment="1" applyProtection="1">
      <alignment vertical="top"/>
    </xf>
    <xf numFmtId="0" fontId="1" fillId="0" borderId="0" xfId="0" applyFont="1" applyAlignment="1" applyProtection="1">
      <alignment vertical="top"/>
    </xf>
    <xf numFmtId="49" fontId="1" fillId="0" borderId="0" xfId="0" applyNumberFormat="1" applyFont="1" applyFill="1" applyAlignment="1" applyProtection="1">
      <alignment horizontal="left" vertical="top"/>
    </xf>
    <xf numFmtId="49" fontId="1" fillId="0" borderId="37" xfId="0" applyNumberFormat="1" applyFont="1" applyFill="1" applyBorder="1" applyAlignment="1" applyProtection="1">
      <alignment horizontal="left" vertical="top"/>
    </xf>
    <xf numFmtId="0" fontId="1" fillId="0" borderId="37" xfId="0" applyFont="1" applyBorder="1" applyAlignment="1" applyProtection="1">
      <alignment vertical="top"/>
    </xf>
    <xf numFmtId="49" fontId="15" fillId="0" borderId="0" xfId="0" applyNumberFormat="1" applyFont="1" applyFill="1" applyBorder="1" applyAlignment="1" applyProtection="1">
      <alignment horizontal="left" vertical="top"/>
    </xf>
    <xf numFmtId="3" fontId="1" fillId="0" borderId="0" xfId="0" applyNumberFormat="1" applyFont="1" applyBorder="1" applyAlignment="1" applyProtection="1">
      <alignment vertical="top"/>
    </xf>
    <xf numFmtId="0" fontId="1" fillId="0" borderId="0" xfId="0" applyFont="1" applyFill="1" applyBorder="1" applyAlignment="1" applyProtection="1">
      <alignment vertical="top"/>
    </xf>
    <xf numFmtId="0" fontId="15" fillId="0" borderId="0" xfId="0" applyFont="1"/>
    <xf numFmtId="3" fontId="1" fillId="0" borderId="35" xfId="0" applyNumberFormat="1" applyFont="1" applyBorder="1"/>
    <xf numFmtId="0" fontId="6" fillId="0" borderId="0" xfId="2" applyFont="1" applyFill="1" applyAlignment="1" applyProtection="1"/>
    <xf numFmtId="0" fontId="5" fillId="0" borderId="0" xfId="5" applyFont="1" applyFill="1" applyProtection="1"/>
    <xf numFmtId="0" fontId="1" fillId="0" borderId="0" xfId="0" applyFont="1" applyProtection="1"/>
    <xf numFmtId="0" fontId="2" fillId="0" borderId="0" xfId="5" applyFont="1" applyFill="1" applyProtection="1"/>
    <xf numFmtId="0" fontId="19" fillId="0" borderId="0" xfId="0" applyFont="1" applyAlignment="1" applyProtection="1">
      <alignment horizontal="right"/>
    </xf>
    <xf numFmtId="1" fontId="3" fillId="0" borderId="0" xfId="5" applyNumberFormat="1" applyFont="1" applyFill="1" applyBorder="1" applyAlignment="1" applyProtection="1"/>
    <xf numFmtId="1" fontId="3" fillId="0" borderId="0" xfId="5" applyNumberFormat="1" applyFont="1" applyFill="1" applyProtection="1"/>
    <xf numFmtId="0" fontId="15" fillId="0" borderId="0" xfId="0" applyFont="1" applyAlignment="1" applyProtection="1">
      <alignment horizontal="right"/>
    </xf>
    <xf numFmtId="0" fontId="1" fillId="0" borderId="0" xfId="0" applyFont="1" applyFill="1" applyProtection="1"/>
    <xf numFmtId="0" fontId="2" fillId="2" borderId="0" xfId="5" applyFont="1" applyFill="1" applyProtection="1"/>
    <xf numFmtId="0" fontId="20" fillId="0" borderId="0" xfId="0" applyFont="1" applyAlignment="1" applyProtection="1">
      <alignment horizontal="right"/>
    </xf>
    <xf numFmtId="9" fontId="2" fillId="0" borderId="0" xfId="4" applyFont="1" applyFill="1" applyBorder="1" applyAlignment="1" applyProtection="1"/>
    <xf numFmtId="0" fontId="2" fillId="0" borderId="0" xfId="5" applyFont="1" applyAlignment="1" applyProtection="1">
      <alignment horizontal="right"/>
    </xf>
    <xf numFmtId="3" fontId="2" fillId="0" borderId="0" xfId="5" applyNumberFormat="1" applyFont="1" applyFill="1" applyBorder="1" applyAlignment="1" applyProtection="1"/>
    <xf numFmtId="3" fontId="1" fillId="0" borderId="0" xfId="0" applyNumberFormat="1" applyFont="1" applyProtection="1"/>
    <xf numFmtId="0" fontId="3" fillId="0" borderId="0" xfId="5" applyFont="1" applyFill="1" applyAlignment="1" applyProtection="1"/>
    <xf numFmtId="1" fontId="1" fillId="0" borderId="0" xfId="0" applyNumberFormat="1" applyFont="1" applyProtection="1"/>
    <xf numFmtId="174" fontId="2" fillId="0" borderId="0" xfId="5" applyNumberFormat="1" applyFont="1" applyFill="1" applyProtection="1"/>
    <xf numFmtId="174" fontId="2" fillId="0" borderId="0" xfId="4" applyNumberFormat="1" applyFont="1" applyFill="1" applyProtection="1"/>
    <xf numFmtId="1" fontId="2" fillId="0" borderId="0" xfId="5" applyNumberFormat="1" applyFont="1" applyFill="1" applyBorder="1" applyAlignment="1" applyProtection="1"/>
    <xf numFmtId="0" fontId="2" fillId="0" borderId="0" xfId="0" applyFont="1" applyProtection="1"/>
    <xf numFmtId="0" fontId="6" fillId="0" borderId="0" xfId="2" applyFont="1" applyFill="1" applyAlignment="1" applyProtection="1">
      <alignment vertical="top"/>
    </xf>
    <xf numFmtId="0" fontId="2" fillId="0" borderId="0" xfId="5" applyFont="1" applyAlignment="1" applyProtection="1">
      <alignment vertical="top"/>
    </xf>
    <xf numFmtId="0" fontId="2" fillId="0" borderId="0" xfId="0" applyFont="1" applyFill="1" applyProtection="1"/>
    <xf numFmtId="2" fontId="3" fillId="0" borderId="0" xfId="5" applyNumberFormat="1" applyFont="1" applyBorder="1" applyProtection="1"/>
    <xf numFmtId="0" fontId="3" fillId="0" borderId="0" xfId="5" applyFont="1" applyFill="1" applyBorder="1" applyProtection="1"/>
    <xf numFmtId="0" fontId="2" fillId="0" borderId="0" xfId="5" applyFont="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Border="1" applyAlignment="1" applyProtection="1">
      <alignment horizontal="right"/>
    </xf>
    <xf numFmtId="1" fontId="2" fillId="0" borderId="0" xfId="5" applyNumberFormat="1" applyFont="1" applyFill="1" applyProtection="1"/>
    <xf numFmtId="0" fontId="3" fillId="0" borderId="0" xfId="2" applyFont="1" applyAlignment="1" applyProtection="1"/>
    <xf numFmtId="0" fontId="3" fillId="0" borderId="0" xfId="0" applyFont="1" applyProtection="1"/>
    <xf numFmtId="0" fontId="20" fillId="0" borderId="0" xfId="0" applyFont="1" applyFill="1" applyAlignment="1" applyProtection="1">
      <alignment horizontal="right"/>
    </xf>
    <xf numFmtId="1" fontId="15" fillId="0" borderId="0" xfId="0" applyNumberFormat="1" applyFont="1" applyAlignment="1" applyProtection="1">
      <alignment horizontal="right"/>
    </xf>
    <xf numFmtId="0" fontId="3" fillId="0" borderId="0" xfId="0" applyFont="1" applyFill="1" applyProtection="1"/>
    <xf numFmtId="174" fontId="2" fillId="0" borderId="0" xfId="4" applyNumberFormat="1" applyFont="1" applyFill="1" applyBorder="1" applyAlignment="1" applyProtection="1"/>
    <xf numFmtId="3" fontId="3" fillId="0" borderId="0" xfId="5" applyNumberFormat="1" applyFont="1" applyFill="1" applyBorder="1" applyAlignment="1" applyProtection="1"/>
    <xf numFmtId="3" fontId="15" fillId="0" borderId="0" xfId="0" applyNumberFormat="1" applyFont="1" applyProtection="1"/>
    <xf numFmtId="0" fontId="15" fillId="0" borderId="0" xfId="0" applyFont="1" applyProtection="1"/>
    <xf numFmtId="10" fontId="1" fillId="0" borderId="0" xfId="0" applyNumberFormat="1" applyFont="1" applyProtection="1"/>
    <xf numFmtId="0" fontId="1" fillId="0" borderId="0" xfId="0" applyFont="1" applyAlignment="1" applyProtection="1">
      <alignment horizontal="right"/>
    </xf>
    <xf numFmtId="0" fontId="1" fillId="0" borderId="0" xfId="0" applyFont="1" applyAlignment="1" applyProtection="1">
      <alignment horizontal="left"/>
    </xf>
    <xf numFmtId="1" fontId="3" fillId="3" borderId="0" xfId="5" applyNumberFormat="1" applyFont="1" applyFill="1" applyProtection="1">
      <protection locked="0"/>
    </xf>
    <xf numFmtId="1" fontId="2" fillId="0" borderId="0" xfId="5" applyNumberFormat="1" applyFont="1" applyFill="1" applyBorder="1" applyAlignment="1" applyProtection="1">
      <alignment horizontal="right"/>
    </xf>
    <xf numFmtId="1" fontId="2" fillId="0" borderId="0" xfId="5" applyNumberFormat="1" applyFont="1" applyFill="1" applyAlignment="1" applyProtection="1">
      <alignment horizontal="right"/>
    </xf>
    <xf numFmtId="0" fontId="2" fillId="0" borderId="0" xfId="5" applyFont="1" applyFill="1" applyAlignment="1" applyProtection="1">
      <alignment horizontal="right"/>
    </xf>
    <xf numFmtId="174" fontId="2" fillId="0" borderId="0" xfId="4" applyNumberFormat="1" applyFont="1" applyFill="1" applyProtection="1">
      <protection locked="0"/>
    </xf>
    <xf numFmtId="0" fontId="3" fillId="0" borderId="0" xfId="5" applyFont="1" applyAlignment="1" applyProtection="1">
      <alignment horizontal="right"/>
    </xf>
    <xf numFmtId="3" fontId="3" fillId="0" borderId="0" xfId="5" applyNumberFormat="1" applyFont="1" applyFill="1" applyProtection="1"/>
    <xf numFmtId="0" fontId="2" fillId="0" borderId="0" xfId="5" applyFont="1" applyFill="1"/>
    <xf numFmtId="0" fontId="2" fillId="0" borderId="0" xfId="5" applyFont="1" applyFill="1" applyAlignment="1"/>
    <xf numFmtId="0" fontId="2" fillId="0" borderId="0" xfId="5" applyFont="1"/>
    <xf numFmtId="0" fontId="21" fillId="0" borderId="0" xfId="5" applyFont="1" applyProtection="1"/>
    <xf numFmtId="0" fontId="3" fillId="0" borderId="0" xfId="5" applyFont="1" applyFill="1" applyAlignment="1" applyProtection="1">
      <alignment horizontal="left"/>
    </xf>
    <xf numFmtId="0" fontId="2" fillId="0" borderId="0" xfId="7" applyFont="1" applyAlignment="1" applyProtection="1"/>
    <xf numFmtId="0" fontId="21" fillId="0" borderId="0" xfId="5" applyFont="1" applyFill="1" applyAlignment="1"/>
    <xf numFmtId="0" fontId="6" fillId="0" borderId="0" xfId="2" applyFont="1" applyBorder="1" applyAlignment="1" applyProtection="1">
      <alignment horizontal="right"/>
    </xf>
    <xf numFmtId="0" fontId="3" fillId="0" borderId="0" xfId="5" applyFont="1" applyBorder="1" applyProtection="1"/>
    <xf numFmtId="0" fontId="1" fillId="0" borderId="0" xfId="0" applyFont="1" applyBorder="1"/>
    <xf numFmtId="3" fontId="3" fillId="0" borderId="0" xfId="5" applyNumberFormat="1" applyFont="1" applyBorder="1" applyProtection="1"/>
    <xf numFmtId="10" fontId="3" fillId="0" borderId="0" xfId="4" applyNumberFormat="1" applyFont="1" applyBorder="1" applyProtection="1"/>
    <xf numFmtId="1" fontId="2" fillId="0" borderId="0" xfId="5" applyNumberFormat="1" applyFont="1" applyBorder="1" applyProtection="1"/>
    <xf numFmtId="3" fontId="2" fillId="0" borderId="0" xfId="5" applyNumberFormat="1" applyFont="1" applyFill="1" applyBorder="1" applyProtection="1"/>
    <xf numFmtId="10" fontId="2" fillId="0" borderId="0" xfId="4" applyNumberFormat="1" applyFont="1" applyFill="1" applyBorder="1" applyProtection="1"/>
    <xf numFmtId="1" fontId="2" fillId="0" borderId="0" xfId="5" applyNumberFormat="1" applyFont="1" applyFill="1" applyBorder="1" applyProtection="1"/>
    <xf numFmtId="3" fontId="2" fillId="0" borderId="0" xfId="5" applyNumberFormat="1" applyFont="1" applyBorder="1" applyProtection="1"/>
    <xf numFmtId="10" fontId="2" fillId="0" borderId="0" xfId="4" applyNumberFormat="1" applyFont="1" applyBorder="1" applyProtection="1"/>
    <xf numFmtId="0" fontId="6" fillId="0" borderId="0" xfId="2" applyFont="1" applyBorder="1" applyAlignment="1" applyProtection="1"/>
    <xf numFmtId="0" fontId="2" fillId="0" borderId="0" xfId="5" applyFont="1" applyBorder="1" applyProtection="1">
      <protection hidden="1"/>
    </xf>
    <xf numFmtId="3" fontId="2" fillId="0" borderId="0" xfId="5" applyNumberFormat="1" applyFont="1" applyBorder="1" applyAlignment="1" applyProtection="1">
      <alignment shrinkToFit="1"/>
    </xf>
    <xf numFmtId="10" fontId="2" fillId="0" borderId="0" xfId="4" applyNumberFormat="1" applyFont="1" applyProtection="1"/>
    <xf numFmtId="169" fontId="2" fillId="0" borderId="0" xfId="5" applyNumberFormat="1" applyFont="1" applyProtection="1"/>
    <xf numFmtId="175" fontId="2" fillId="0" borderId="0" xfId="5" applyNumberFormat="1" applyFont="1" applyFill="1" applyBorder="1" applyProtection="1"/>
    <xf numFmtId="170" fontId="2" fillId="0" borderId="0" xfId="1" applyNumberFormat="1" applyFont="1" applyAlignment="1" applyProtection="1"/>
    <xf numFmtId="0" fontId="2" fillId="0" borderId="0" xfId="5" applyFont="1" applyAlignment="1" applyProtection="1">
      <alignment horizontal="left"/>
    </xf>
    <xf numFmtId="171" fontId="2" fillId="0" borderId="0" xfId="1" applyNumberFormat="1" applyFont="1" applyAlignment="1" applyProtection="1"/>
    <xf numFmtId="171" fontId="2" fillId="0" borderId="0" xfId="1" applyNumberFormat="1" applyFont="1" applyAlignment="1" applyProtection="1">
      <alignment horizontal="right"/>
    </xf>
    <xf numFmtId="0" fontId="3" fillId="0" borderId="51" xfId="5" applyFont="1" applyBorder="1" applyProtection="1"/>
    <xf numFmtId="0" fontId="2" fillId="0" borderId="51" xfId="5" applyFont="1" applyBorder="1" applyProtection="1"/>
    <xf numFmtId="0" fontId="3" fillId="0" borderId="50" xfId="5" applyFont="1" applyBorder="1" applyProtection="1"/>
    <xf numFmtId="0" fontId="2" fillId="0" borderId="50" xfId="5" applyFont="1" applyBorder="1" applyProtection="1"/>
    <xf numFmtId="0" fontId="2" fillId="0" borderId="11" xfId="5" applyFont="1" applyBorder="1" applyAlignment="1" applyProtection="1">
      <alignment vertical="center"/>
    </xf>
    <xf numFmtId="0" fontId="2" fillId="0" borderId="21" xfId="5" applyFont="1" applyFill="1" applyBorder="1" applyAlignment="1" applyProtection="1">
      <alignment vertical="center" wrapText="1"/>
    </xf>
    <xf numFmtId="0" fontId="2" fillId="0" borderId="1" xfId="5" applyFont="1" applyBorder="1" applyAlignment="1" applyProtection="1">
      <alignment vertical="center" wrapText="1"/>
    </xf>
    <xf numFmtId="0" fontId="2" fillId="0" borderId="11" xfId="5" applyFont="1" applyBorder="1" applyAlignment="1" applyProtection="1">
      <alignment vertical="center" wrapText="1"/>
    </xf>
    <xf numFmtId="0" fontId="2" fillId="0" borderId="13" xfId="5" applyFont="1" applyBorder="1" applyAlignment="1" applyProtection="1">
      <alignment vertical="center" wrapText="1"/>
    </xf>
    <xf numFmtId="0" fontId="2" fillId="0" borderId="13" xfId="5" applyFont="1" applyBorder="1" applyAlignment="1" applyProtection="1">
      <alignment vertical="center"/>
    </xf>
    <xf numFmtId="0" fontId="2" fillId="0" borderId="13" xfId="5" applyFont="1" applyFill="1" applyBorder="1" applyAlignment="1" applyProtection="1">
      <alignment vertical="center" wrapText="1"/>
    </xf>
    <xf numFmtId="0" fontId="3" fillId="0" borderId="1" xfId="5" applyFont="1" applyBorder="1" applyAlignment="1" applyProtection="1">
      <alignment vertical="center" wrapText="1"/>
    </xf>
    <xf numFmtId="0" fontId="2" fillId="0" borderId="11" xfId="5" applyFont="1" applyFill="1" applyBorder="1" applyAlignment="1" applyProtection="1">
      <alignment vertical="center" wrapText="1"/>
    </xf>
    <xf numFmtId="0" fontId="2" fillId="0" borderId="29" xfId="5" applyFont="1" applyBorder="1" applyAlignment="1" applyProtection="1">
      <alignment vertical="center" wrapText="1"/>
    </xf>
    <xf numFmtId="0" fontId="3" fillId="0" borderId="29" xfId="5" applyFont="1" applyBorder="1" applyAlignment="1" applyProtection="1">
      <alignment vertical="center" wrapText="1"/>
    </xf>
    <xf numFmtId="0" fontId="2" fillId="0" borderId="45" xfId="5" applyFont="1" applyFill="1" applyBorder="1" applyAlignment="1" applyProtection="1">
      <alignment vertical="center" wrapText="1"/>
    </xf>
    <xf numFmtId="0" fontId="2" fillId="0" borderId="21" xfId="5" applyFont="1" applyBorder="1" applyAlignment="1" applyProtection="1">
      <alignment vertical="center" wrapText="1"/>
    </xf>
    <xf numFmtId="0" fontId="2" fillId="0" borderId="1" xfId="5" applyFont="1" applyFill="1" applyBorder="1" applyAlignment="1" applyProtection="1">
      <alignment vertical="center" wrapText="1"/>
    </xf>
    <xf numFmtId="0" fontId="2" fillId="0" borderId="38" xfId="5" applyFont="1" applyBorder="1" applyAlignment="1" applyProtection="1">
      <alignment vertical="center"/>
    </xf>
    <xf numFmtId="0" fontId="2" fillId="0" borderId="0" xfId="5" applyFont="1" applyAlignment="1" applyProtection="1">
      <alignment horizontal="center" vertical="center"/>
    </xf>
    <xf numFmtId="0" fontId="6" fillId="0" borderId="18" xfId="2" applyFont="1" applyBorder="1" applyAlignment="1" applyProtection="1">
      <alignment horizontal="center" vertical="center"/>
    </xf>
    <xf numFmtId="0" fontId="6" fillId="0" borderId="28" xfId="2" applyFont="1" applyBorder="1" applyAlignment="1" applyProtection="1">
      <alignment horizontal="center" vertical="center"/>
    </xf>
    <xf numFmtId="0" fontId="6" fillId="0" borderId="2" xfId="2" applyFont="1" applyBorder="1" applyAlignment="1" applyProtection="1">
      <alignment horizontal="center" vertical="center" wrapText="1"/>
    </xf>
    <xf numFmtId="0" fontId="6" fillId="0" borderId="12" xfId="2" applyFont="1" applyBorder="1" applyAlignment="1" applyProtection="1">
      <alignment horizontal="center" vertical="center" wrapText="1"/>
    </xf>
    <xf numFmtId="0" fontId="6" fillId="0" borderId="19" xfId="2" applyFont="1" applyBorder="1" applyAlignment="1" applyProtection="1">
      <alignment horizontal="center" vertical="center" wrapText="1"/>
    </xf>
    <xf numFmtId="0" fontId="6" fillId="0" borderId="19" xfId="2" applyFont="1" applyBorder="1" applyAlignment="1" applyProtection="1">
      <alignment horizontal="center" vertical="center"/>
    </xf>
    <xf numFmtId="0" fontId="6" fillId="0" borderId="19" xfId="2" applyFont="1" applyFill="1" applyBorder="1" applyAlignment="1" applyProtection="1">
      <alignment horizontal="center" vertical="center" wrapText="1"/>
    </xf>
    <xf numFmtId="0" fontId="6" fillId="0" borderId="0" xfId="2" applyFont="1" applyFill="1" applyAlignment="1" applyProtection="1">
      <alignment horizontal="center" vertical="center"/>
    </xf>
    <xf numFmtId="0" fontId="6" fillId="0" borderId="20" xfId="2" applyFont="1" applyBorder="1" applyAlignment="1" applyProtection="1">
      <alignment horizontal="center" vertical="center" wrapText="1"/>
    </xf>
    <xf numFmtId="0" fontId="6" fillId="0" borderId="30" xfId="2" applyFont="1" applyBorder="1" applyAlignment="1" applyProtection="1">
      <alignment horizontal="center" vertical="center" wrapText="1"/>
    </xf>
    <xf numFmtId="0" fontId="6" fillId="0" borderId="30" xfId="2" applyFont="1" applyFill="1" applyBorder="1" applyAlignment="1" applyProtection="1">
      <alignment horizontal="center" vertical="center" wrapText="1"/>
    </xf>
    <xf numFmtId="0" fontId="6" fillId="0" borderId="20" xfId="2" applyFont="1" applyFill="1" applyBorder="1" applyAlignment="1" applyProtection="1">
      <alignment horizontal="center" vertical="center" wrapText="1"/>
    </xf>
    <xf numFmtId="0" fontId="6" fillId="0" borderId="46"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18" xfId="2" applyFont="1" applyFill="1" applyBorder="1" applyAlignment="1" applyProtection="1">
      <alignment horizontal="center" vertical="center" wrapText="1"/>
    </xf>
    <xf numFmtId="0" fontId="6" fillId="0" borderId="2" xfId="2" applyFont="1" applyFill="1" applyBorder="1" applyAlignment="1" applyProtection="1">
      <alignment horizontal="center" vertical="center" wrapText="1"/>
    </xf>
    <xf numFmtId="0" fontId="2" fillId="0" borderId="22" xfId="5" applyFont="1" applyBorder="1" applyAlignment="1" applyProtection="1">
      <alignment horizontal="center" vertical="center" wrapText="1"/>
    </xf>
    <xf numFmtId="0" fontId="6" fillId="0" borderId="12" xfId="2" applyFont="1" applyBorder="1" applyAlignment="1" applyProtection="1">
      <alignment horizontal="center" vertical="center"/>
    </xf>
    <xf numFmtId="0" fontId="6" fillId="0" borderId="14" xfId="2" applyFont="1" applyBorder="1" applyAlignment="1" applyProtection="1">
      <alignment horizontal="center" vertical="center" wrapText="1"/>
    </xf>
    <xf numFmtId="0" fontId="6" fillId="0" borderId="2" xfId="2" applyFont="1" applyBorder="1" applyAlignment="1" applyProtection="1">
      <alignment horizontal="center" vertical="center"/>
    </xf>
    <xf numFmtId="0" fontId="6" fillId="0" borderId="39" xfId="2" applyFont="1" applyBorder="1" applyAlignment="1" applyProtection="1">
      <alignment horizontal="center" vertical="center"/>
    </xf>
    <xf numFmtId="0" fontId="2" fillId="0" borderId="12" xfId="5" applyFont="1" applyBorder="1" applyAlignment="1" applyProtection="1">
      <alignment horizontal="center"/>
    </xf>
    <xf numFmtId="0" fontId="2" fillId="0" borderId="22" xfId="5" applyFont="1" applyBorder="1" applyAlignment="1" applyProtection="1">
      <alignment horizontal="center"/>
    </xf>
    <xf numFmtId="0" fontId="2" fillId="0" borderId="2" xfId="5" applyFont="1" applyBorder="1" applyAlignment="1" applyProtection="1">
      <alignment horizontal="center"/>
    </xf>
    <xf numFmtId="10" fontId="2" fillId="0" borderId="14" xfId="5" applyNumberFormat="1" applyFont="1" applyBorder="1" applyAlignment="1" applyProtection="1">
      <alignment horizontal="center"/>
    </xf>
    <xf numFmtId="0" fontId="2" fillId="0" borderId="14" xfId="5" applyFont="1" applyBorder="1" applyAlignment="1" applyProtection="1">
      <alignment horizontal="center"/>
    </xf>
    <xf numFmtId="0" fontId="3" fillId="0" borderId="2" xfId="5" applyFont="1" applyBorder="1" applyAlignment="1" applyProtection="1">
      <alignment horizontal="center"/>
    </xf>
    <xf numFmtId="0" fontId="2" fillId="0" borderId="31" xfId="5" applyFont="1" applyBorder="1" applyAlignment="1" applyProtection="1">
      <alignment horizontal="center"/>
    </xf>
    <xf numFmtId="0" fontId="3" fillId="0" borderId="31" xfId="5" applyFont="1" applyBorder="1" applyAlignment="1" applyProtection="1">
      <alignment horizontal="center"/>
    </xf>
    <xf numFmtId="0" fontId="2" fillId="0" borderId="47" xfId="5" applyFont="1" applyBorder="1" applyAlignment="1" applyProtection="1">
      <alignment horizontal="center"/>
    </xf>
    <xf numFmtId="0" fontId="2" fillId="0" borderId="22" xfId="5" applyFont="1" applyBorder="1" applyProtection="1"/>
    <xf numFmtId="0" fontId="2" fillId="0" borderId="12" xfId="5" applyFont="1" applyBorder="1" applyProtection="1"/>
    <xf numFmtId="0" fontId="2" fillId="0" borderId="40" xfId="5" applyFont="1" applyBorder="1" applyAlignment="1" applyProtection="1">
      <alignment horizontal="center"/>
    </xf>
    <xf numFmtId="1" fontId="2" fillId="0" borderId="12" xfId="5" applyNumberFormat="1" applyFont="1" applyBorder="1" applyAlignment="1" applyProtection="1">
      <alignment shrinkToFit="1"/>
    </xf>
    <xf numFmtId="3" fontId="2" fillId="0" borderId="22" xfId="5" applyNumberFormat="1" applyFont="1" applyFill="1" applyBorder="1" applyAlignment="1" applyProtection="1">
      <alignment shrinkToFit="1"/>
    </xf>
    <xf numFmtId="2" fontId="2" fillId="0" borderId="2" xfId="5" applyNumberFormat="1" applyFont="1" applyBorder="1" applyAlignment="1" applyProtection="1">
      <alignment shrinkToFit="1"/>
    </xf>
    <xf numFmtId="3" fontId="2" fillId="0" borderId="12" xfId="5" applyNumberFormat="1" applyFont="1" applyFill="1" applyBorder="1" applyAlignment="1" applyProtection="1">
      <alignment shrinkToFit="1"/>
    </xf>
    <xf numFmtId="3" fontId="2" fillId="0" borderId="14" xfId="5" applyNumberFormat="1" applyFont="1" applyFill="1" applyBorder="1" applyAlignment="1" applyProtection="1">
      <alignment shrinkToFit="1"/>
    </xf>
    <xf numFmtId="3" fontId="2" fillId="0" borderId="14" xfId="5" applyNumberFormat="1" applyFont="1" applyBorder="1" applyAlignment="1" applyProtection="1">
      <alignment shrinkToFit="1"/>
    </xf>
    <xf numFmtId="3" fontId="2" fillId="3" borderId="14" xfId="5" applyNumberFormat="1" applyFont="1" applyFill="1" applyBorder="1" applyAlignment="1" applyProtection="1">
      <alignment shrinkToFit="1"/>
      <protection locked="0"/>
    </xf>
    <xf numFmtId="3" fontId="2" fillId="2" borderId="14" xfId="5" applyNumberFormat="1" applyFont="1" applyFill="1" applyBorder="1" applyAlignment="1" applyProtection="1">
      <alignment shrinkToFit="1"/>
      <protection locked="0"/>
    </xf>
    <xf numFmtId="3" fontId="3" fillId="0" borderId="2" xfId="5" applyNumberFormat="1" applyFont="1" applyFill="1" applyBorder="1" applyAlignment="1" applyProtection="1">
      <alignment shrinkToFit="1"/>
    </xf>
    <xf numFmtId="3" fontId="2" fillId="3" borderId="31" xfId="5" applyNumberFormat="1" applyFont="1" applyFill="1" applyBorder="1" applyAlignment="1" applyProtection="1">
      <alignment shrinkToFit="1"/>
      <protection locked="0"/>
    </xf>
    <xf numFmtId="3" fontId="3" fillId="0" borderId="2" xfId="5" applyNumberFormat="1" applyFont="1" applyBorder="1" applyAlignment="1" applyProtection="1">
      <alignment shrinkToFit="1"/>
    </xf>
    <xf numFmtId="3" fontId="3" fillId="0" borderId="31" xfId="5" applyNumberFormat="1" applyFont="1" applyBorder="1" applyAlignment="1" applyProtection="1">
      <alignment shrinkToFit="1"/>
    </xf>
    <xf numFmtId="3" fontId="2" fillId="0" borderId="47" xfId="5" applyNumberFormat="1" applyFont="1" applyFill="1" applyBorder="1" applyAlignment="1" applyProtection="1">
      <alignment shrinkToFit="1"/>
    </xf>
    <xf numFmtId="3" fontId="2" fillId="0" borderId="2" xfId="5" applyNumberFormat="1" applyFont="1" applyFill="1" applyBorder="1" applyAlignment="1" applyProtection="1">
      <alignment vertical="top" shrinkToFit="1"/>
    </xf>
    <xf numFmtId="3" fontId="2" fillId="0" borderId="22" xfId="5" applyNumberFormat="1" applyFont="1" applyBorder="1" applyAlignment="1" applyProtection="1">
      <alignment vertical="top" shrinkToFit="1"/>
    </xf>
    <xf numFmtId="1" fontId="2" fillId="0" borderId="12" xfId="5" applyNumberFormat="1" applyFont="1" applyBorder="1" applyProtection="1"/>
    <xf numFmtId="3" fontId="2" fillId="0" borderId="14" xfId="5" applyNumberFormat="1" applyFont="1" applyFill="1" applyBorder="1" applyProtection="1"/>
    <xf numFmtId="3" fontId="2" fillId="0" borderId="2" xfId="5" applyNumberFormat="1" applyFont="1" applyFill="1" applyBorder="1" applyProtection="1"/>
    <xf numFmtId="10" fontId="2" fillId="0" borderId="40" xfId="4" applyNumberFormat="1" applyFont="1" applyBorder="1" applyProtection="1"/>
    <xf numFmtId="1" fontId="2" fillId="0" borderId="40" xfId="5" applyNumberFormat="1" applyFont="1" applyBorder="1" applyAlignment="1" applyProtection="1">
      <alignment shrinkToFit="1"/>
    </xf>
    <xf numFmtId="3" fontId="17" fillId="0" borderId="0" xfId="8" applyNumberFormat="1" applyFont="1" applyProtection="1"/>
    <xf numFmtId="3" fontId="2" fillId="0" borderId="22" xfId="5" applyNumberFormat="1" applyFont="1" applyBorder="1" applyAlignment="1" applyProtection="1">
      <alignment shrinkToFit="1"/>
    </xf>
    <xf numFmtId="3" fontId="2" fillId="0" borderId="12" xfId="5" applyNumberFormat="1" applyFont="1" applyBorder="1" applyAlignment="1" applyProtection="1">
      <alignment shrinkToFit="1"/>
    </xf>
    <xf numFmtId="1" fontId="2" fillId="0" borderId="15" xfId="5" applyNumberFormat="1" applyFont="1" applyBorder="1" applyAlignment="1" applyProtection="1">
      <alignment shrinkToFit="1"/>
    </xf>
    <xf numFmtId="3" fontId="2" fillId="0" borderId="16" xfId="5" applyNumberFormat="1" applyFont="1" applyBorder="1" applyAlignment="1" applyProtection="1">
      <alignment shrinkToFit="1"/>
    </xf>
    <xf numFmtId="2" fontId="2" fillId="0" borderId="17" xfId="5" applyNumberFormat="1" applyFont="1" applyBorder="1" applyAlignment="1" applyProtection="1">
      <alignment shrinkToFit="1"/>
    </xf>
    <xf numFmtId="3" fontId="2" fillId="0" borderId="15" xfId="5" applyNumberFormat="1" applyFont="1" applyBorder="1" applyAlignment="1" applyProtection="1">
      <alignment shrinkToFit="1"/>
    </xf>
    <xf numFmtId="3" fontId="2" fillId="3" borderId="16" xfId="5" applyNumberFormat="1" applyFont="1" applyFill="1" applyBorder="1" applyAlignment="1" applyProtection="1">
      <alignment shrinkToFit="1"/>
      <protection locked="0"/>
    </xf>
    <xf numFmtId="3" fontId="2" fillId="2" borderId="16" xfId="5" applyNumberFormat="1" applyFont="1" applyFill="1" applyBorder="1" applyAlignment="1" applyProtection="1">
      <alignment shrinkToFit="1"/>
      <protection locked="0"/>
    </xf>
    <xf numFmtId="3" fontId="2" fillId="0" borderId="23" xfId="5" applyNumberFormat="1" applyFont="1" applyFill="1" applyBorder="1" applyAlignment="1" applyProtection="1">
      <alignment shrinkToFit="1"/>
    </xf>
    <xf numFmtId="3" fontId="2" fillId="0" borderId="16" xfId="5" applyNumberFormat="1" applyFont="1" applyFill="1" applyBorder="1" applyAlignment="1" applyProtection="1">
      <alignment shrinkToFit="1"/>
    </xf>
    <xf numFmtId="3" fontId="3" fillId="0" borderId="17" xfId="5" applyNumberFormat="1" applyFont="1" applyBorder="1" applyAlignment="1" applyProtection="1">
      <alignment shrinkToFit="1"/>
    </xf>
    <xf numFmtId="3" fontId="2" fillId="3" borderId="32" xfId="5" applyNumberFormat="1" applyFont="1" applyFill="1" applyBorder="1" applyAlignment="1" applyProtection="1">
      <alignment shrinkToFit="1"/>
      <protection locked="0"/>
    </xf>
    <xf numFmtId="3" fontId="3" fillId="0" borderId="23" xfId="5" applyNumberFormat="1" applyFont="1" applyBorder="1" applyAlignment="1" applyProtection="1">
      <alignment shrinkToFit="1"/>
    </xf>
    <xf numFmtId="3" fontId="3" fillId="0" borderId="49" xfId="5" applyNumberFormat="1" applyFont="1" applyBorder="1" applyAlignment="1" applyProtection="1">
      <alignment shrinkToFit="1"/>
    </xf>
    <xf numFmtId="3" fontId="2" fillId="0" borderId="48" xfId="5" applyNumberFormat="1" applyFont="1" applyFill="1" applyBorder="1" applyAlignment="1" applyProtection="1">
      <alignment shrinkToFit="1"/>
    </xf>
    <xf numFmtId="3" fontId="2" fillId="0" borderId="15" xfId="5" applyNumberFormat="1" applyFont="1" applyFill="1" applyBorder="1" applyAlignment="1" applyProtection="1">
      <alignment shrinkToFit="1"/>
    </xf>
    <xf numFmtId="3" fontId="2" fillId="0" borderId="17" xfId="5" applyNumberFormat="1" applyFont="1" applyFill="1" applyBorder="1" applyAlignment="1" applyProtection="1">
      <alignment vertical="top" shrinkToFit="1"/>
    </xf>
    <xf numFmtId="3" fontId="2" fillId="0" borderId="23" xfId="5" applyNumberFormat="1" applyFont="1" applyBorder="1" applyAlignment="1" applyProtection="1">
      <alignment vertical="top" shrinkToFit="1"/>
    </xf>
    <xf numFmtId="1" fontId="2" fillId="0" borderId="15" xfId="5" applyNumberFormat="1" applyFont="1" applyBorder="1" applyProtection="1"/>
    <xf numFmtId="3" fontId="2" fillId="0" borderId="16" xfId="5" applyNumberFormat="1" applyFont="1" applyFill="1" applyBorder="1" applyProtection="1"/>
    <xf numFmtId="3" fontId="2" fillId="0" borderId="17" xfId="5" applyNumberFormat="1" applyFont="1" applyFill="1" applyBorder="1" applyProtection="1"/>
    <xf numFmtId="10" fontId="2" fillId="0" borderId="44" xfId="4" applyNumberFormat="1" applyFont="1" applyBorder="1" applyProtection="1"/>
    <xf numFmtId="1" fontId="2" fillId="0" borderId="44" xfId="5" applyNumberFormat="1" applyFont="1" applyBorder="1" applyAlignment="1" applyProtection="1">
      <alignment shrinkToFit="1"/>
    </xf>
    <xf numFmtId="0" fontId="6" fillId="0" borderId="0" xfId="2" applyFont="1" applyAlignment="1" applyProtection="1">
      <alignment vertical="center"/>
    </xf>
    <xf numFmtId="0" fontId="1" fillId="0" borderId="0" xfId="7" applyFont="1" applyAlignment="1" applyProtection="1">
      <alignment vertical="center"/>
    </xf>
    <xf numFmtId="0" fontId="2" fillId="2" borderId="0" xfId="5" applyFont="1" applyFill="1"/>
    <xf numFmtId="0" fontId="3" fillId="0" borderId="0" xfId="7" applyFont="1" applyFill="1" applyAlignment="1" applyProtection="1">
      <alignment vertical="center"/>
    </xf>
    <xf numFmtId="0" fontId="2" fillId="8" borderId="0" xfId="5" applyFont="1" applyFill="1"/>
    <xf numFmtId="0" fontId="3" fillId="0" borderId="0" xfId="7" applyFont="1" applyAlignment="1" applyProtection="1">
      <alignment vertical="center"/>
    </xf>
    <xf numFmtId="0" fontId="2" fillId="0" borderId="0" xfId="7" applyFont="1" applyAlignment="1" applyProtection="1">
      <alignment vertical="center"/>
    </xf>
    <xf numFmtId="0" fontId="1" fillId="0" borderId="0" xfId="7" applyFont="1" applyFill="1" applyAlignment="1" applyProtection="1">
      <alignment vertical="center"/>
    </xf>
    <xf numFmtId="0" fontId="1" fillId="0" borderId="24" xfId="7" applyFont="1" applyBorder="1" applyAlignment="1" applyProtection="1">
      <alignment vertical="center"/>
    </xf>
    <xf numFmtId="0" fontId="1" fillId="0" borderId="25" xfId="7" applyFont="1" applyBorder="1" applyAlignment="1" applyProtection="1">
      <alignment vertical="center"/>
    </xf>
    <xf numFmtId="0" fontId="1" fillId="8" borderId="25" xfId="7" applyFont="1" applyFill="1" applyBorder="1" applyAlignment="1" applyProtection="1">
      <alignment horizontal="center" vertical="center"/>
      <protection locked="0"/>
    </xf>
    <xf numFmtId="0" fontId="1" fillId="0" borderId="0" xfId="0" applyFont="1" applyAlignment="1" applyProtection="1">
      <alignment vertical="center"/>
    </xf>
    <xf numFmtId="0" fontId="1" fillId="0" borderId="26" xfId="7" applyFont="1" applyBorder="1" applyAlignment="1" applyProtection="1">
      <alignment vertical="center"/>
    </xf>
    <xf numFmtId="0" fontId="2" fillId="8" borderId="25" xfId="7" applyFont="1" applyFill="1" applyBorder="1" applyAlignment="1" applyProtection="1">
      <alignment horizontal="center" vertical="center"/>
      <protection locked="0"/>
    </xf>
    <xf numFmtId="0" fontId="1" fillId="0" borderId="27" xfId="7" applyFont="1" applyBorder="1" applyAlignment="1" applyProtection="1">
      <alignment vertical="center"/>
    </xf>
    <xf numFmtId="0" fontId="1" fillId="8" borderId="25" xfId="7" applyFont="1" applyFill="1" applyBorder="1" applyAlignment="1" applyProtection="1">
      <alignment vertical="center"/>
      <protection locked="0"/>
    </xf>
    <xf numFmtId="0" fontId="2" fillId="8" borderId="25" xfId="7" applyFont="1" applyFill="1" applyBorder="1" applyAlignment="1" applyProtection="1">
      <alignment vertical="center"/>
      <protection locked="0"/>
    </xf>
    <xf numFmtId="41" fontId="1" fillId="2" borderId="25" xfId="8" applyFont="1" applyFill="1" applyBorder="1" applyAlignment="1" applyProtection="1">
      <alignment vertical="center"/>
      <protection locked="0"/>
    </xf>
    <xf numFmtId="9" fontId="1" fillId="2" borderId="27" xfId="4" applyNumberFormat="1" applyFont="1" applyFill="1" applyBorder="1" applyAlignment="1" applyProtection="1">
      <alignment vertical="center"/>
      <protection locked="0"/>
    </xf>
    <xf numFmtId="9" fontId="1" fillId="2" borderId="27" xfId="4" applyFont="1" applyFill="1" applyBorder="1" applyAlignment="1" applyProtection="1">
      <alignment vertical="center"/>
      <protection locked="0"/>
    </xf>
    <xf numFmtId="9" fontId="1" fillId="0" borderId="0" xfId="4" applyFont="1" applyAlignment="1" applyProtection="1">
      <alignment vertical="center"/>
    </xf>
    <xf numFmtId="171" fontId="1" fillId="2" borderId="25" xfId="7" applyNumberFormat="1" applyFont="1" applyFill="1" applyBorder="1" applyAlignment="1" applyProtection="1">
      <alignment vertical="center"/>
      <protection locked="0"/>
    </xf>
    <xf numFmtId="0" fontId="1" fillId="2" borderId="25" xfId="7" applyFont="1" applyFill="1" applyBorder="1" applyAlignment="1" applyProtection="1">
      <alignment vertical="center"/>
      <protection locked="0"/>
    </xf>
    <xf numFmtId="0" fontId="1" fillId="2" borderId="27" xfId="7" applyFont="1" applyFill="1" applyBorder="1" applyAlignment="1" applyProtection="1">
      <alignment vertical="center"/>
      <protection locked="0"/>
    </xf>
    <xf numFmtId="41" fontId="1" fillId="0" borderId="0" xfId="8" applyFont="1" applyAlignment="1" applyProtection="1">
      <alignment vertical="center"/>
    </xf>
    <xf numFmtId="41" fontId="1" fillId="0" borderId="25" xfId="7" applyNumberFormat="1" applyFont="1" applyFill="1" applyBorder="1" applyAlignment="1" applyProtection="1">
      <alignment vertical="center"/>
    </xf>
    <xf numFmtId="0" fontId="1" fillId="0" borderId="0" xfId="0" applyFont="1" applyFill="1" applyAlignment="1" applyProtection="1">
      <alignment vertical="center"/>
    </xf>
    <xf numFmtId="41" fontId="2" fillId="0" borderId="25" xfId="7" applyNumberFormat="1" applyFont="1" applyFill="1" applyBorder="1" applyAlignment="1" applyProtection="1">
      <alignment vertical="center"/>
    </xf>
    <xf numFmtId="3" fontId="1" fillId="0" borderId="0" xfId="0" applyNumberFormat="1" applyFont="1" applyFill="1" applyAlignment="1" applyProtection="1">
      <alignment vertical="center"/>
    </xf>
    <xf numFmtId="0" fontId="15" fillId="0" borderId="27" xfId="7" applyFont="1" applyBorder="1" applyAlignment="1" applyProtection="1">
      <alignment vertical="center"/>
    </xf>
    <xf numFmtId="0" fontId="15" fillId="0" borderId="25" xfId="7" applyFont="1" applyBorder="1" applyAlignment="1" applyProtection="1">
      <alignment vertical="center"/>
    </xf>
    <xf numFmtId="41" fontId="3" fillId="0" borderId="25" xfId="7" applyNumberFormat="1" applyFont="1" applyFill="1" applyBorder="1" applyAlignment="1" applyProtection="1">
      <alignment vertical="center"/>
    </xf>
    <xf numFmtId="3" fontId="15" fillId="0" borderId="0" xfId="0" applyNumberFormat="1" applyFont="1" applyFill="1" applyAlignment="1" applyProtection="1">
      <alignment vertical="center"/>
    </xf>
    <xf numFmtId="173" fontId="15" fillId="0" borderId="25" xfId="7" applyNumberFormat="1" applyFont="1" applyFill="1" applyBorder="1" applyAlignment="1" applyProtection="1">
      <alignment vertical="center"/>
    </xf>
    <xf numFmtId="0" fontId="15" fillId="0" borderId="0" xfId="0" applyFont="1" applyFill="1" applyAlignment="1" applyProtection="1">
      <alignment vertical="center"/>
    </xf>
    <xf numFmtId="0" fontId="16" fillId="0" borderId="0" xfId="7" applyFont="1" applyAlignment="1" applyProtection="1">
      <alignment vertical="center"/>
    </xf>
    <xf numFmtId="0" fontId="5" fillId="0" borderId="0" xfId="5" applyFont="1"/>
    <xf numFmtId="0" fontId="3" fillId="0" borderId="0" xfId="5" applyFont="1"/>
    <xf numFmtId="2" fontId="3" fillId="0" borderId="0" xfId="5" applyNumberFormat="1" applyFont="1"/>
    <xf numFmtId="167" fontId="2" fillId="0" borderId="0" xfId="5" applyNumberFormat="1" applyFont="1"/>
    <xf numFmtId="0" fontId="2" fillId="0" borderId="3" xfId="5" applyFont="1" applyBorder="1"/>
    <xf numFmtId="0" fontId="2" fillId="0" borderId="4" xfId="5" applyFont="1" applyBorder="1"/>
    <xf numFmtId="0" fontId="2" fillId="2" borderId="4" xfId="5" applyFont="1" applyFill="1" applyBorder="1" applyAlignment="1" applyProtection="1">
      <alignment horizontal="left"/>
      <protection locked="0"/>
    </xf>
    <xf numFmtId="0" fontId="2" fillId="0" borderId="4" xfId="5" applyFont="1" applyFill="1" applyBorder="1" applyAlignment="1" applyProtection="1">
      <alignment horizontal="left"/>
    </xf>
    <xf numFmtId="172" fontId="2" fillId="0" borderId="4" xfId="4" applyNumberFormat="1" applyFont="1" applyFill="1" applyBorder="1" applyProtection="1"/>
    <xf numFmtId="0" fontId="2" fillId="0" borderId="5" xfId="5" applyFont="1" applyBorder="1"/>
    <xf numFmtId="0" fontId="2" fillId="2" borderId="0" xfId="5" applyFont="1" applyFill="1" applyAlignment="1" applyProtection="1">
      <protection locked="0"/>
    </xf>
    <xf numFmtId="0" fontId="2" fillId="0" borderId="7" xfId="5" applyFont="1" applyBorder="1"/>
    <xf numFmtId="0" fontId="2" fillId="0" borderId="0" xfId="5" applyFont="1" applyBorder="1"/>
    <xf numFmtId="0" fontId="2" fillId="0" borderId="0" xfId="5" applyFont="1" applyBorder="1" applyAlignment="1">
      <alignment horizontal="right"/>
    </xf>
    <xf numFmtId="0" fontId="2" fillId="2" borderId="0" xfId="5" applyFont="1" applyFill="1" applyBorder="1" applyProtection="1">
      <protection locked="0"/>
    </xf>
    <xf numFmtId="0" fontId="2" fillId="0" borderId="6" xfId="5" applyFont="1" applyBorder="1"/>
    <xf numFmtId="0" fontId="2" fillId="0" borderId="8" xfId="5" applyFont="1" applyBorder="1"/>
    <xf numFmtId="0" fontId="2" fillId="0" borderId="9" xfId="5" applyFont="1" applyBorder="1"/>
    <xf numFmtId="0" fontId="2" fillId="0" borderId="9" xfId="5" applyFont="1" applyFill="1" applyBorder="1" applyProtection="1"/>
    <xf numFmtId="0" fontId="2" fillId="0" borderId="10" xfId="5" applyFont="1" applyBorder="1"/>
    <xf numFmtId="172" fontId="2" fillId="0" borderId="4" xfId="5" applyNumberFormat="1" applyFont="1" applyFill="1" applyBorder="1" applyProtection="1"/>
    <xf numFmtId="0" fontId="2" fillId="0" borderId="9" xfId="5" applyFont="1" applyBorder="1" applyProtection="1"/>
    <xf numFmtId="11" fontId="2" fillId="0" borderId="0" xfId="5" applyNumberFormat="1" applyFont="1"/>
    <xf numFmtId="164" fontId="2" fillId="0" borderId="0" xfId="3" applyFont="1" applyAlignment="1"/>
    <xf numFmtId="0" fontId="22" fillId="0" borderId="0" xfId="5" applyFont="1" applyProtection="1"/>
    <xf numFmtId="0" fontId="5" fillId="0" borderId="0" xfId="5" applyFont="1" applyFill="1"/>
    <xf numFmtId="0" fontId="9" fillId="0" borderId="0" xfId="0" applyFont="1"/>
    <xf numFmtId="0" fontId="3" fillId="2" borderId="0" xfId="5" applyFont="1" applyFill="1" applyAlignment="1" applyProtection="1">
      <protection locked="0"/>
    </xf>
    <xf numFmtId="0" fontId="2" fillId="0" borderId="0" xfId="5" applyFont="1" applyAlignment="1">
      <alignment vertical="top" wrapText="1"/>
    </xf>
    <xf numFmtId="0" fontId="2" fillId="0" borderId="0" xfId="5" applyFont="1" applyAlignment="1">
      <alignment vertical="top"/>
    </xf>
    <xf numFmtId="0" fontId="2" fillId="0" borderId="0" xfId="5" applyFont="1" applyFill="1" applyAlignment="1">
      <alignment vertical="top"/>
    </xf>
    <xf numFmtId="2" fontId="3" fillId="0" borderId="0" xfId="5" applyNumberFormat="1" applyFont="1" applyBorder="1"/>
    <xf numFmtId="0" fontId="3" fillId="0" borderId="0" xfId="5" applyFont="1" applyBorder="1"/>
    <xf numFmtId="0" fontId="13" fillId="0" borderId="0" xfId="5" applyFont="1"/>
    <xf numFmtId="0" fontId="2" fillId="0" borderId="0" xfId="5" applyFont="1" applyFill="1" applyBorder="1" applyAlignment="1">
      <alignment horizontal="right"/>
    </xf>
    <xf numFmtId="0" fontId="2" fillId="0" borderId="0" xfId="5" applyFont="1" applyFill="1" applyBorder="1"/>
    <xf numFmtId="4" fontId="2" fillId="2" borderId="0" xfId="5" applyNumberFormat="1" applyFont="1" applyFill="1" applyBorder="1" applyAlignment="1" applyProtection="1">
      <protection locked="0"/>
    </xf>
    <xf numFmtId="1" fontId="2" fillId="2" borderId="0" xfId="5" applyNumberFormat="1" applyFont="1" applyFill="1" applyBorder="1" applyAlignment="1" applyProtection="1">
      <protection locked="0"/>
    </xf>
    <xf numFmtId="1" fontId="2" fillId="0" borderId="0" xfId="5" applyNumberFormat="1" applyFont="1"/>
    <xf numFmtId="0" fontId="2" fillId="0" borderId="0" xfId="5" applyFont="1" applyAlignment="1">
      <alignment horizontal="center"/>
    </xf>
    <xf numFmtId="3" fontId="2" fillId="2" borderId="0" xfId="5" applyNumberFormat="1" applyFont="1" applyFill="1" applyBorder="1" applyAlignment="1" applyProtection="1">
      <protection locked="0"/>
    </xf>
    <xf numFmtId="0" fontId="2" fillId="0" borderId="0" xfId="5" applyFont="1" applyAlignment="1">
      <alignment horizontal="right"/>
    </xf>
    <xf numFmtId="166" fontId="2" fillId="2" borderId="0" xfId="5" applyNumberFormat="1" applyFont="1" applyFill="1" applyBorder="1" applyAlignment="1" applyProtection="1">
      <protection locked="0"/>
    </xf>
    <xf numFmtId="4" fontId="2" fillId="0" borderId="0" xfId="5" applyNumberFormat="1" applyFont="1" applyFill="1" applyBorder="1" applyAlignment="1" applyProtection="1"/>
    <xf numFmtId="0" fontId="3" fillId="0" borderId="0" xfId="5" applyFont="1" applyFill="1" applyAlignment="1">
      <alignment horizontal="right"/>
    </xf>
    <xf numFmtId="0" fontId="3" fillId="0" borderId="0" xfId="5" applyFont="1" applyAlignment="1">
      <alignment horizontal="left"/>
    </xf>
    <xf numFmtId="0" fontId="3" fillId="0" borderId="0" xfId="5" applyFont="1" applyAlignment="1">
      <alignment horizontal="right"/>
    </xf>
    <xf numFmtId="0" fontId="3" fillId="0" borderId="0" xfId="5" applyFont="1" applyFill="1" applyAlignment="1">
      <alignment horizontal="left"/>
    </xf>
    <xf numFmtId="0" fontId="2" fillId="0" borderId="0" xfId="5" applyFont="1" applyAlignment="1">
      <alignment horizontal="right" vertical="top"/>
    </xf>
    <xf numFmtId="0" fontId="3" fillId="0" borderId="0" xfId="5" applyFont="1" applyAlignment="1">
      <alignment horizontal="right" vertical="top"/>
    </xf>
    <xf numFmtId="0" fontId="2" fillId="0" borderId="0" xfId="5" applyFont="1" applyAlignment="1">
      <alignment horizontal="left"/>
    </xf>
    <xf numFmtId="0" fontId="20" fillId="0" borderId="0" xfId="0" applyFont="1" applyFill="1" applyAlignment="1">
      <alignment horizontal="right"/>
    </xf>
    <xf numFmtId="3" fontId="2" fillId="3" borderId="0" xfId="5" applyNumberFormat="1" applyFont="1" applyFill="1" applyBorder="1" applyAlignment="1" applyProtection="1">
      <protection locked="0"/>
    </xf>
    <xf numFmtId="0" fontId="2" fillId="0" borderId="0" xfId="5" applyFont="1" applyFill="1" applyProtection="1">
      <protection locked="0"/>
    </xf>
    <xf numFmtId="0" fontId="19" fillId="0" borderId="0" xfId="0" applyFont="1" applyAlignment="1">
      <alignment horizontal="right"/>
    </xf>
    <xf numFmtId="3" fontId="3" fillId="0" borderId="0" xfId="5" applyNumberFormat="1" applyFont="1"/>
    <xf numFmtId="3" fontId="3" fillId="0" borderId="0" xfId="5" applyNumberFormat="1" applyFont="1" applyFill="1" applyBorder="1" applyAlignment="1" applyProtection="1">
      <alignment horizontal="center"/>
    </xf>
    <xf numFmtId="0" fontId="3" fillId="0" borderId="0" xfId="5" applyFont="1" applyAlignment="1">
      <alignment horizontal="center"/>
    </xf>
    <xf numFmtId="0" fontId="20" fillId="0" borderId="0" xfId="0" applyFont="1" applyAlignment="1">
      <alignment horizontal="right"/>
    </xf>
    <xf numFmtId="3" fontId="2" fillId="0" borderId="0" xfId="5" applyNumberFormat="1" applyFont="1"/>
    <xf numFmtId="0" fontId="2" fillId="3" borderId="0" xfId="5" applyFont="1" applyFill="1" applyProtection="1">
      <protection locked="0"/>
    </xf>
    <xf numFmtId="0" fontId="3" fillId="0" borderId="0" xfId="0" applyFont="1" applyAlignment="1">
      <alignment horizontal="right"/>
    </xf>
    <xf numFmtId="0" fontId="19" fillId="0" borderId="0" xfId="0" applyFont="1" applyFill="1" applyAlignment="1">
      <alignment horizontal="right"/>
    </xf>
    <xf numFmtId="3" fontId="2" fillId="0" borderId="0" xfId="5" applyNumberFormat="1" applyFont="1" applyFill="1" applyBorder="1" applyAlignment="1" applyProtection="1">
      <alignment horizontal="right"/>
    </xf>
    <xf numFmtId="0" fontId="3" fillId="0" borderId="0" xfId="5" applyFont="1" applyAlignment="1">
      <alignment horizontal="right" vertical="center"/>
    </xf>
    <xf numFmtId="0" fontId="2" fillId="0" borderId="0" xfId="5" applyFont="1" applyAlignment="1" applyProtection="1">
      <alignment vertical="top"/>
      <protection locked="0"/>
    </xf>
    <xf numFmtId="0" fontId="5" fillId="0" borderId="0" xfId="5" applyFont="1" applyAlignment="1" applyProtection="1">
      <alignment vertical="top"/>
      <protection locked="0"/>
    </xf>
    <xf numFmtId="0" fontId="2" fillId="0" borderId="0" xfId="5" applyFont="1" applyAlignment="1" applyProtection="1">
      <alignment vertical="top" wrapText="1"/>
    </xf>
    <xf numFmtId="0" fontId="2" fillId="0" borderId="11" xfId="6" applyFont="1" applyBorder="1" applyAlignment="1" applyProtection="1">
      <alignment vertical="top"/>
      <protection locked="0"/>
    </xf>
    <xf numFmtId="0" fontId="3" fillId="0" borderId="1" xfId="6" applyFont="1" applyBorder="1" applyAlignment="1" applyProtection="1">
      <alignment vertical="top" wrapText="1"/>
    </xf>
    <xf numFmtId="0" fontId="2" fillId="0" borderId="0" xfId="6" applyFont="1" applyAlignment="1" applyProtection="1">
      <alignment vertical="top"/>
      <protection locked="0"/>
    </xf>
    <xf numFmtId="0" fontId="2" fillId="0" borderId="12" xfId="6" applyFont="1" applyBorder="1" applyAlignment="1" applyProtection="1">
      <alignment vertical="top"/>
      <protection locked="0"/>
    </xf>
    <xf numFmtId="0" fontId="3" fillId="0" borderId="2" xfId="6" applyFont="1" applyBorder="1" applyAlignment="1" applyProtection="1">
      <alignment vertical="top" wrapText="1"/>
    </xf>
    <xf numFmtId="0" fontId="2" fillId="0" borderId="2" xfId="6" applyFont="1" applyBorder="1" applyAlignment="1" applyProtection="1">
      <alignment vertical="top" wrapText="1"/>
    </xf>
    <xf numFmtId="0" fontId="2" fillId="0" borderId="12" xfId="0" applyFont="1" applyBorder="1" applyAlignment="1" applyProtection="1">
      <alignment vertical="top"/>
      <protection locked="0"/>
    </xf>
    <xf numFmtId="0" fontId="2" fillId="3" borderId="2" xfId="6" applyFont="1" applyFill="1" applyBorder="1" applyAlignment="1" applyProtection="1">
      <alignment vertical="top" wrapText="1"/>
    </xf>
    <xf numFmtId="0" fontId="2" fillId="8" borderId="2" xfId="6" applyFont="1" applyFill="1" applyBorder="1" applyAlignment="1" applyProtection="1">
      <alignment vertical="top" wrapText="1"/>
    </xf>
    <xf numFmtId="0" fontId="2" fillId="6" borderId="2" xfId="6" applyFont="1" applyFill="1" applyBorder="1" applyAlignment="1" applyProtection="1">
      <alignment vertical="top" wrapText="1"/>
    </xf>
    <xf numFmtId="0" fontId="2" fillId="0" borderId="12" xfId="2" applyFont="1" applyBorder="1" applyAlignment="1" applyProtection="1">
      <alignment vertical="top"/>
      <protection locked="0"/>
    </xf>
    <xf numFmtId="0" fontId="2" fillId="0" borderId="12" xfId="2" applyFont="1" applyFill="1" applyBorder="1" applyAlignment="1" applyProtection="1">
      <alignment vertical="top"/>
      <protection locked="0"/>
    </xf>
    <xf numFmtId="0" fontId="3" fillId="0" borderId="0" xfId="6" applyFont="1" applyAlignment="1" applyProtection="1">
      <alignment vertical="top"/>
      <protection locked="0"/>
    </xf>
    <xf numFmtId="0" fontId="2" fillId="0" borderId="12" xfId="0" applyFont="1" applyBorder="1" applyAlignment="1" applyProtection="1">
      <alignment horizontal="right" vertical="top" wrapText="1"/>
      <protection locked="0"/>
    </xf>
    <xf numFmtId="0" fontId="2" fillId="0" borderId="2" xfId="6" applyFont="1" applyFill="1" applyBorder="1" applyAlignment="1" applyProtection="1">
      <alignment vertical="top" wrapText="1"/>
    </xf>
    <xf numFmtId="0" fontId="2" fillId="0" borderId="0" xfId="6" applyFont="1" applyFill="1" applyAlignment="1" applyProtection="1">
      <alignment vertical="top"/>
      <protection locked="0"/>
    </xf>
    <xf numFmtId="0" fontId="2" fillId="0" borderId="12" xfId="0" applyFont="1" applyFill="1" applyBorder="1" applyAlignment="1" applyProtection="1">
      <alignment vertical="top"/>
      <protection locked="0"/>
    </xf>
    <xf numFmtId="0" fontId="2" fillId="9" borderId="0" xfId="6" applyFont="1" applyFill="1" applyAlignment="1" applyProtection="1">
      <alignment vertical="top"/>
      <protection locked="0"/>
    </xf>
    <xf numFmtId="0" fontId="3" fillId="0" borderId="2" xfId="6" applyFont="1" applyBorder="1" applyAlignment="1" applyProtection="1">
      <alignment horizontal="left" vertical="top" wrapText="1"/>
    </xf>
    <xf numFmtId="0" fontId="2" fillId="0" borderId="42" xfId="6" applyFont="1" applyBorder="1" applyAlignment="1" applyProtection="1">
      <alignment vertical="top"/>
      <protection locked="0"/>
    </xf>
    <xf numFmtId="0" fontId="2" fillId="0" borderId="43" xfId="6" applyFont="1" applyBorder="1" applyAlignment="1" applyProtection="1">
      <alignment vertical="top" wrapText="1"/>
    </xf>
    <xf numFmtId="0" fontId="2" fillId="0" borderId="41" xfId="6" applyFont="1" applyBorder="1" applyAlignment="1" applyProtection="1">
      <alignment vertical="top"/>
      <protection locked="0"/>
    </xf>
    <xf numFmtId="0" fontId="2" fillId="0" borderId="41" xfId="6" applyFont="1" applyBorder="1" applyAlignment="1" applyProtection="1">
      <alignment vertical="top" wrapText="1"/>
    </xf>
    <xf numFmtId="0" fontId="2" fillId="0" borderId="0" xfId="6" applyFont="1" applyAlignment="1" applyProtection="1">
      <alignment vertical="top" wrapText="1"/>
    </xf>
    <xf numFmtId="0" fontId="24" fillId="0" borderId="0" xfId="5" applyFont="1" applyProtection="1"/>
    <xf numFmtId="0" fontId="2" fillId="10" borderId="13" xfId="5" applyFont="1" applyFill="1" applyBorder="1" applyAlignment="1" applyProtection="1">
      <alignment vertical="center" wrapText="1"/>
      <protection locked="0"/>
    </xf>
    <xf numFmtId="3" fontId="2" fillId="10" borderId="14" xfId="5" applyNumberFormat="1" applyFont="1" applyFill="1" applyBorder="1" applyAlignment="1" applyProtection="1">
      <alignment shrinkToFit="1"/>
      <protection locked="0"/>
    </xf>
    <xf numFmtId="3" fontId="2" fillId="10" borderId="16" xfId="5" applyNumberFormat="1" applyFont="1" applyFill="1" applyBorder="1" applyAlignment="1" applyProtection="1">
      <alignment shrinkToFit="1"/>
      <protection locked="0"/>
    </xf>
    <xf numFmtId="10" fontId="2" fillId="10" borderId="0" xfId="4" applyNumberFormat="1" applyFont="1" applyFill="1" applyBorder="1" applyProtection="1">
      <protection locked="0"/>
    </xf>
    <xf numFmtId="0" fontId="2" fillId="10" borderId="0" xfId="5" applyFont="1" applyFill="1"/>
    <xf numFmtId="41" fontId="1" fillId="10" borderId="25" xfId="7" applyNumberFormat="1" applyFont="1" applyFill="1" applyBorder="1" applyAlignment="1" applyProtection="1">
      <alignment vertical="center"/>
      <protection locked="0"/>
    </xf>
    <xf numFmtId="0" fontId="24" fillId="0" borderId="0" xfId="7" applyFont="1" applyAlignment="1" applyProtection="1">
      <alignment vertical="center"/>
    </xf>
    <xf numFmtId="0" fontId="24" fillId="0" borderId="0" xfId="5" applyFont="1"/>
    <xf numFmtId="3" fontId="2" fillId="10" borderId="0" xfId="5" applyNumberFormat="1" applyFont="1" applyFill="1" applyBorder="1" applyAlignment="1" applyProtection="1">
      <protection locked="0"/>
    </xf>
    <xf numFmtId="1" fontId="2" fillId="10" borderId="0" xfId="5" applyNumberFormat="1" applyFont="1" applyFill="1" applyProtection="1">
      <protection locked="0"/>
    </xf>
    <xf numFmtId="2" fontId="2" fillId="10" borderId="0" xfId="5" applyNumberFormat="1" applyFont="1" applyFill="1" applyProtection="1">
      <protection locked="0"/>
    </xf>
    <xf numFmtId="0" fontId="2" fillId="10" borderId="0" xfId="5" applyFont="1" applyFill="1" applyProtection="1">
      <protection locked="0"/>
    </xf>
    <xf numFmtId="0" fontId="24" fillId="0" borderId="0" xfId="5" applyFont="1" applyAlignment="1" applyProtection="1">
      <alignment vertical="top" wrapText="1"/>
    </xf>
    <xf numFmtId="0" fontId="2" fillId="10" borderId="2" xfId="6" applyFont="1" applyFill="1" applyBorder="1" applyAlignment="1" applyProtection="1">
      <alignment vertical="top" wrapText="1"/>
    </xf>
    <xf numFmtId="0" fontId="2" fillId="0" borderId="0" xfId="5" applyAlignment="1">
      <alignment horizontal="right"/>
    </xf>
    <xf numFmtId="0" fontId="2" fillId="0" borderId="0" xfId="5"/>
    <xf numFmtId="2" fontId="2" fillId="0" borderId="0" xfId="5" applyNumberFormat="1" applyFont="1"/>
    <xf numFmtId="0" fontId="3" fillId="0" borderId="0" xfId="5" applyFont="1" applyFill="1" applyAlignment="1" applyProtection="1">
      <alignment horizontal="left"/>
    </xf>
    <xf numFmtId="0" fontId="2" fillId="0" borderId="0" xfId="5" applyFont="1" applyAlignment="1">
      <alignment horizontal="left"/>
    </xf>
    <xf numFmtId="0" fontId="2" fillId="2" borderId="0" xfId="5" applyFont="1" applyFill="1" applyAlignment="1"/>
    <xf numFmtId="0" fontId="2" fillId="10" borderId="0" xfId="5" applyFont="1" applyFill="1" applyAlignment="1"/>
    <xf numFmtId="0" fontId="21" fillId="0" borderId="0" xfId="5" applyFont="1" applyFill="1" applyAlignment="1"/>
    <xf numFmtId="0" fontId="2" fillId="0" borderId="0" xfId="5" applyFont="1" applyBorder="1" applyAlignment="1" applyProtection="1">
      <alignment horizontal="right"/>
    </xf>
    <xf numFmtId="0" fontId="3" fillId="0" borderId="0" xfId="5" applyFont="1" applyBorder="1" applyAlignment="1" applyProtection="1">
      <alignment horizontal="right"/>
    </xf>
    <xf numFmtId="0" fontId="2" fillId="0" borderId="0" xfId="5" applyFont="1" applyAlignment="1" applyProtection="1">
      <alignment horizontal="right"/>
    </xf>
    <xf numFmtId="0" fontId="2" fillId="0" borderId="0" xfId="5" applyFont="1" applyAlignment="1" applyProtection="1">
      <alignment horizontal="left" vertical="top" wrapText="1"/>
    </xf>
    <xf numFmtId="0" fontId="2" fillId="3" borderId="0" xfId="5" applyFont="1" applyFill="1" applyAlignment="1" applyProtection="1">
      <alignment horizontal="left" vertical="top" wrapText="1"/>
      <protection locked="0"/>
    </xf>
    <xf numFmtId="0" fontId="1" fillId="0" borderId="33" xfId="0" applyNumberFormat="1" applyFont="1" applyBorder="1" applyAlignment="1" applyProtection="1">
      <alignment horizontal="left" vertical="top" wrapText="1"/>
    </xf>
    <xf numFmtId="0" fontId="1" fillId="0" borderId="34" xfId="0" applyNumberFormat="1" applyFont="1" applyBorder="1" applyAlignment="1" applyProtection="1">
      <alignment horizontal="left" vertical="top" wrapText="1"/>
    </xf>
    <xf numFmtId="0" fontId="2" fillId="0" borderId="33" xfId="0" applyNumberFormat="1" applyFont="1" applyFill="1" applyBorder="1" applyAlignment="1" applyProtection="1">
      <alignment horizontal="left" vertical="top" wrapText="1"/>
    </xf>
    <xf numFmtId="0" fontId="2" fillId="0" borderId="34" xfId="0" applyNumberFormat="1" applyFont="1" applyFill="1" applyBorder="1" applyAlignment="1" applyProtection="1">
      <alignment horizontal="left" vertical="top" wrapText="1"/>
    </xf>
  </cellXfs>
  <cellStyles count="10">
    <cellStyle name="Dezimal [0]" xfId="8" builtinId="6"/>
    <cellStyle name="Dezimal [0] 2" xfId="9" xr:uid="{A20A54E0-DEC7-46A0-9E7A-21C534D0AF8D}"/>
    <cellStyle name="Euro" xfId="1" xr:uid="{00000000-0005-0000-0000-000001000000}"/>
    <cellStyle name="Komma" xfId="3" builtinId="3"/>
    <cellStyle name="Link" xfId="2" builtinId="8" customBuiltin="1"/>
    <cellStyle name="Prozent" xfId="4" builtinId="5"/>
    <cellStyle name="Standard" xfId="0" builtinId="0"/>
    <cellStyle name="Standard 2" xfId="7" xr:uid="{00000000-0005-0000-0000-000006000000}"/>
    <cellStyle name="Standard_2008-03_Grundpreis_Messpreis_Arbeitspreis" xfId="5" xr:uid="{00000000-0005-0000-0000-000007000000}"/>
    <cellStyle name="Standard_Betriebsbericht_Vorlage_V05_080211" xfId="6" xr:uid="{00000000-0005-0000-0000-000008000000}"/>
  </cellStyles>
  <dxfs count="5">
    <dxf>
      <fill>
        <patternFill>
          <bgColor rgb="FFFFFF99"/>
        </patternFill>
      </fill>
    </dxf>
    <dxf>
      <font>
        <color theme="0"/>
      </font>
      <fill>
        <patternFill>
          <bgColor theme="0"/>
        </patternFill>
      </fill>
    </dxf>
    <dxf>
      <fill>
        <patternFill>
          <bgColor rgb="FFFF0000"/>
        </patternFill>
      </fill>
    </dxf>
    <dxf>
      <fill>
        <patternFill>
          <bgColor rgb="FFFF0000"/>
        </patternFill>
      </fill>
    </dxf>
    <dxf>
      <font>
        <color theme="0"/>
      </font>
    </dxf>
  </dxfs>
  <tableStyles count="0" defaultTableStyle="TableStyleMedium9" defaultPivotStyle="PivotStyleLight16"/>
  <colors>
    <mruColors>
      <color rgb="FFD5001C"/>
      <color rgb="FFD8E4BC"/>
      <color rgb="FFFFFF66"/>
      <color rgb="FFFFFF99"/>
      <color rgb="FFFFFFCC"/>
      <color rgb="FFF5D9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de-DE" sz="1400" b="1"/>
              <a:t>Wirtschaftliche Entwicklung</a:t>
            </a:r>
          </a:p>
        </c:rich>
      </c:tx>
      <c:layout>
        <c:manualLayout>
          <c:xMode val="edge"/>
          <c:yMode val="edge"/>
          <c:x val="0.34179708005249299"/>
          <c:y val="2.8333333333333301E-2"/>
        </c:manualLayout>
      </c:layout>
      <c:overlay val="0"/>
      <c:spPr>
        <a:noFill/>
        <a:ln w="25400">
          <a:noFill/>
        </a:ln>
      </c:spPr>
    </c:title>
    <c:autoTitleDeleted val="0"/>
    <c:plotArea>
      <c:layout>
        <c:manualLayout>
          <c:layoutTarget val="inner"/>
          <c:xMode val="edge"/>
          <c:yMode val="edge"/>
          <c:x val="8.8946321534753472E-2"/>
          <c:y val="0.12414660354729856"/>
          <c:w val="0.88371037865343438"/>
          <c:h val="0.72164912695634031"/>
        </c:manualLayout>
      </c:layout>
      <c:lineChart>
        <c:grouping val="standard"/>
        <c:varyColors val="0"/>
        <c:ser>
          <c:idx val="1"/>
          <c:order val="0"/>
          <c:tx>
            <c:strRef>
              <c:f>B1_Berechnungen!$E$31</c:f>
              <c:strCache>
                <c:ptCount val="1"/>
                <c:pt idx="0">
                  <c:v>Aufwand</c:v>
                </c:pt>
              </c:strCache>
            </c:strRef>
          </c:tx>
          <c:spPr>
            <a:ln w="25400">
              <a:solidFill>
                <a:srgbClr val="FF00FF"/>
              </a:solidFill>
              <a:prstDash val="solid"/>
            </a:ln>
          </c:spPr>
          <c:marker>
            <c:symbol val="none"/>
          </c:marke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B1_Berechnungen!$O$36:$O$60</c:f>
              <c:numCache>
                <c:formatCode>#,##0</c:formatCode>
                <c:ptCount val="25"/>
                <c:pt idx="0">
                  <c:v>42400</c:v>
                </c:pt>
                <c:pt idx="1">
                  <c:v>40907.333333333336</c:v>
                </c:pt>
                <c:pt idx="2">
                  <c:v>135165.74597222221</c:v>
                </c:pt>
                <c:pt idx="3">
                  <c:v>188406.64088045835</c:v>
                </c:pt>
                <c:pt idx="4">
                  <c:v>257051.65294678809</c:v>
                </c:pt>
                <c:pt idx="5">
                  <c:v>260024.0149463625</c:v>
                </c:pt>
                <c:pt idx="6">
                  <c:v>258966.87732750765</c:v>
                </c:pt>
                <c:pt idx="7">
                  <c:v>257915.97357024092</c:v>
                </c:pt>
                <c:pt idx="8">
                  <c:v>261671.36599932137</c:v>
                </c:pt>
                <c:pt idx="9">
                  <c:v>259673.11756275664</c:v>
                </c:pt>
                <c:pt idx="10">
                  <c:v>257681.29183803586</c:v>
                </c:pt>
                <c:pt idx="11">
                  <c:v>255695.95303842457</c:v>
                </c:pt>
                <c:pt idx="12">
                  <c:v>253717.16601932229</c:v>
                </c:pt>
                <c:pt idx="13">
                  <c:v>251744.99628468402</c:v>
                </c:pt>
                <c:pt idx="14">
                  <c:v>250739.50999350546</c:v>
                </c:pt>
                <c:pt idx="15">
                  <c:v>249740.77396637382</c:v>
                </c:pt>
                <c:pt idx="16">
                  <c:v>250415.52235875031</c:v>
                </c:pt>
                <c:pt idx="17">
                  <c:v>251311.78194147858</c:v>
                </c:pt>
                <c:pt idx="18">
                  <c:v>252000.37101222735</c:v>
                </c:pt>
                <c:pt idx="19">
                  <c:v>252695.98437859979</c:v>
                </c:pt>
                <c:pt idx="20">
                  <c:v>253398.69226971181</c:v>
                </c:pt>
                <c:pt idx="21">
                  <c:v>254108.56561697152</c:v>
                </c:pt>
                <c:pt idx="22">
                  <c:v>259229.47686006228</c:v>
                </c:pt>
                <c:pt idx="23">
                  <c:v>259953.89675819743</c:v>
                </c:pt>
                <c:pt idx="24">
                  <c:v>260685.6991910417</c:v>
                </c:pt>
              </c:numCache>
            </c:numRef>
          </c:val>
          <c:smooth val="0"/>
          <c:extLst>
            <c:ext xmlns:c16="http://schemas.microsoft.com/office/drawing/2014/chart" uri="{C3380CC4-5D6E-409C-BE32-E72D297353CC}">
              <c16:uniqueId val="{00000000-6D9B-4A28-A9DF-19D2BF06519A}"/>
            </c:ext>
          </c:extLst>
        </c:ser>
        <c:ser>
          <c:idx val="2"/>
          <c:order val="1"/>
          <c:tx>
            <c:strRef>
              <c:f>B1_Berechnungen!$P$31</c:f>
              <c:strCache>
                <c:ptCount val="1"/>
                <c:pt idx="0">
                  <c:v>Ertrag</c:v>
                </c:pt>
              </c:strCache>
            </c:strRef>
          </c:tx>
          <c:spPr>
            <a:ln w="25400">
              <a:solidFill>
                <a:srgbClr val="FFFF00"/>
              </a:solidFill>
              <a:prstDash val="solid"/>
            </a:ln>
          </c:spPr>
          <c:marker>
            <c:symbol val="none"/>
          </c:marke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B1_Berechnungen!$U$36:$U$60</c:f>
              <c:numCache>
                <c:formatCode>#,##0</c:formatCode>
                <c:ptCount val="25"/>
                <c:pt idx="0">
                  <c:v>0</c:v>
                </c:pt>
                <c:pt idx="1">
                  <c:v>0</c:v>
                </c:pt>
                <c:pt idx="2">
                  <c:v>258000.637625</c:v>
                </c:pt>
                <c:pt idx="3">
                  <c:v>701395.17619491345</c:v>
                </c:pt>
                <c:pt idx="4">
                  <c:v>337084.93450852402</c:v>
                </c:pt>
                <c:pt idx="5">
                  <c:v>297856.0340102351</c:v>
                </c:pt>
                <c:pt idx="6">
                  <c:v>298846.83851148636</c:v>
                </c:pt>
                <c:pt idx="7">
                  <c:v>299847.739833334</c:v>
                </c:pt>
                <c:pt idx="8">
                  <c:v>300858.83892510645</c:v>
                </c:pt>
                <c:pt idx="9">
                  <c:v>301880.2377456273</c:v>
                </c:pt>
                <c:pt idx="10">
                  <c:v>302912.03927331022</c:v>
                </c:pt>
                <c:pt idx="11">
                  <c:v>303954.34751635487</c:v>
                </c:pt>
                <c:pt idx="12">
                  <c:v>305007.26752304501</c:v>
                </c:pt>
                <c:pt idx="13">
                  <c:v>306070.90539214888</c:v>
                </c:pt>
                <c:pt idx="14">
                  <c:v>307145.36828342447</c:v>
                </c:pt>
                <c:pt idx="15">
                  <c:v>308230.76442822895</c:v>
                </c:pt>
                <c:pt idx="16">
                  <c:v>309327.20314023539</c:v>
                </c:pt>
                <c:pt idx="17">
                  <c:v>310434.79482625506</c:v>
                </c:pt>
                <c:pt idx="18">
                  <c:v>311553.65099716949</c:v>
                </c:pt>
                <c:pt idx="19">
                  <c:v>302683.88427897077</c:v>
                </c:pt>
                <c:pt idx="20">
                  <c:v>303825.6084239129</c:v>
                </c:pt>
                <c:pt idx="21">
                  <c:v>304978.93832177424</c:v>
                </c:pt>
                <c:pt idx="22">
                  <c:v>306143.99001123285</c:v>
                </c:pt>
                <c:pt idx="23">
                  <c:v>307320.88069135533</c:v>
                </c:pt>
                <c:pt idx="24">
                  <c:v>308509.72873320116</c:v>
                </c:pt>
              </c:numCache>
            </c:numRef>
          </c:val>
          <c:smooth val="0"/>
          <c:extLst>
            <c:ext xmlns:c16="http://schemas.microsoft.com/office/drawing/2014/chart" uri="{C3380CC4-5D6E-409C-BE32-E72D297353CC}">
              <c16:uniqueId val="{00000001-6D9B-4A28-A9DF-19D2BF06519A}"/>
            </c:ext>
          </c:extLst>
        </c:ser>
        <c:ser>
          <c:idx val="3"/>
          <c:order val="2"/>
          <c:tx>
            <c:strRef>
              <c:f>B1_Berechnungen!$AA$33</c:f>
              <c:strCache>
                <c:ptCount val="1"/>
                <c:pt idx="0">
                  <c:v>Cashflow</c:v>
                </c:pt>
              </c:strCache>
            </c:strRef>
          </c:tx>
          <c:spPr>
            <a:ln w="25400">
              <a:solidFill>
                <a:srgbClr val="00FFFF"/>
              </a:solidFill>
              <a:prstDash val="solid"/>
            </a:ln>
          </c:spPr>
          <c:marker>
            <c:symbol val="none"/>
          </c:marke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B1_Berechnungen!$AA$36:$AA$60</c:f>
              <c:numCache>
                <c:formatCode>#,##0</c:formatCode>
                <c:ptCount val="25"/>
                <c:pt idx="0">
                  <c:v>630600</c:v>
                </c:pt>
                <c:pt idx="1">
                  <c:v>-598074</c:v>
                </c:pt>
                <c:pt idx="2">
                  <c:v>-717498.44168055546</c:v>
                </c:pt>
                <c:pt idx="3">
                  <c:v>490155.20198112173</c:v>
                </c:pt>
                <c:pt idx="4">
                  <c:v>57199.948228402602</c:v>
                </c:pt>
                <c:pt idx="5">
                  <c:v>14998.685730539277</c:v>
                </c:pt>
                <c:pt idx="6">
                  <c:v>17046.627850645382</c:v>
                </c:pt>
                <c:pt idx="7">
                  <c:v>19098.432929759743</c:v>
                </c:pt>
                <c:pt idx="8">
                  <c:v>136354.13959245174</c:v>
                </c:pt>
                <c:pt idx="9">
                  <c:v>-4626.2131504626741</c:v>
                </c:pt>
                <c:pt idx="10">
                  <c:v>-1602.5858980589692</c:v>
                </c:pt>
                <c:pt idx="11">
                  <c:v>1425.0611445969698</c:v>
                </c:pt>
                <c:pt idx="12">
                  <c:v>4456.7681703893904</c:v>
                </c:pt>
                <c:pt idx="13">
                  <c:v>7492.5757741315319</c:v>
                </c:pt>
                <c:pt idx="14">
                  <c:v>33572.524956585679</c:v>
                </c:pt>
                <c:pt idx="15">
                  <c:v>35656.657128521809</c:v>
                </c:pt>
                <c:pt idx="16">
                  <c:v>102745.01411481842</c:v>
                </c:pt>
                <c:pt idx="17">
                  <c:v>79951.592384536518</c:v>
                </c:pt>
                <c:pt idx="18">
                  <c:v>103601.23859210213</c:v>
                </c:pt>
                <c:pt idx="19">
                  <c:v>94035.858507530967</c:v>
                </c:pt>
                <c:pt idx="20">
                  <c:v>94474.874761361076</c:v>
                </c:pt>
                <c:pt idx="21">
                  <c:v>94918.331311962713</c:v>
                </c:pt>
                <c:pt idx="22">
                  <c:v>-392709.74342189694</c:v>
                </c:pt>
                <c:pt idx="23">
                  <c:v>95818.743339277222</c:v>
                </c:pt>
                <c:pt idx="24">
                  <c:v>96275.788948278787</c:v>
                </c:pt>
              </c:numCache>
            </c:numRef>
          </c:val>
          <c:smooth val="0"/>
          <c:extLst>
            <c:ext xmlns:c16="http://schemas.microsoft.com/office/drawing/2014/chart" uri="{C3380CC4-5D6E-409C-BE32-E72D297353CC}">
              <c16:uniqueId val="{00000002-6D9B-4A28-A9DF-19D2BF06519A}"/>
            </c:ext>
          </c:extLst>
        </c:ser>
        <c:ser>
          <c:idx val="4"/>
          <c:order val="3"/>
          <c:tx>
            <c:strRef>
              <c:f>B1_Berechnungen!$AB$33</c:f>
              <c:strCache>
                <c:ptCount val="1"/>
                <c:pt idx="0">
                  <c:v>Kumulierter Cashflow</c:v>
                </c:pt>
              </c:strCache>
            </c:strRef>
          </c:tx>
          <c:spPr>
            <a:ln w="25400">
              <a:solidFill>
                <a:srgbClr val="800080"/>
              </a:solidFill>
              <a:prstDash val="solid"/>
            </a:ln>
          </c:spPr>
          <c:marker>
            <c:symbol val="none"/>
          </c:marke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B1_Berechnungen!$AB$36:$AB$60</c:f>
              <c:numCache>
                <c:formatCode>#,##0</c:formatCode>
                <c:ptCount val="25"/>
                <c:pt idx="0">
                  <c:v>630600</c:v>
                </c:pt>
                <c:pt idx="1">
                  <c:v>32526</c:v>
                </c:pt>
                <c:pt idx="2">
                  <c:v>-684972.44168055546</c:v>
                </c:pt>
                <c:pt idx="3">
                  <c:v>-194817.23969943373</c:v>
                </c:pt>
                <c:pt idx="4">
                  <c:v>-137617.29147103115</c:v>
                </c:pt>
                <c:pt idx="5">
                  <c:v>-122618.60574049187</c:v>
                </c:pt>
                <c:pt idx="6">
                  <c:v>-105571.97788984649</c:v>
                </c:pt>
                <c:pt idx="7">
                  <c:v>-86473.544960086743</c:v>
                </c:pt>
                <c:pt idx="8">
                  <c:v>49880.594632364999</c:v>
                </c:pt>
                <c:pt idx="9">
                  <c:v>45254.381481902325</c:v>
                </c:pt>
                <c:pt idx="10">
                  <c:v>43651.795583843355</c:v>
                </c:pt>
                <c:pt idx="11">
                  <c:v>45076.856728440325</c:v>
                </c:pt>
                <c:pt idx="12">
                  <c:v>49533.624898829716</c:v>
                </c:pt>
                <c:pt idx="13">
                  <c:v>57026.200672961248</c:v>
                </c:pt>
                <c:pt idx="14">
                  <c:v>90598.725629546927</c:v>
                </c:pt>
                <c:pt idx="15">
                  <c:v>126255.38275806874</c:v>
                </c:pt>
                <c:pt idx="16">
                  <c:v>229000.39687288716</c:v>
                </c:pt>
                <c:pt idx="17">
                  <c:v>308951.98925742367</c:v>
                </c:pt>
                <c:pt idx="18">
                  <c:v>412553.22784952581</c:v>
                </c:pt>
                <c:pt idx="19">
                  <c:v>506589.08635705675</c:v>
                </c:pt>
                <c:pt idx="20">
                  <c:v>601063.96111841779</c:v>
                </c:pt>
                <c:pt idx="21">
                  <c:v>695982.29243038048</c:v>
                </c:pt>
                <c:pt idx="22">
                  <c:v>303272.54900848353</c:v>
                </c:pt>
                <c:pt idx="23">
                  <c:v>399091.29234776075</c:v>
                </c:pt>
                <c:pt idx="24">
                  <c:v>495367.08129603951</c:v>
                </c:pt>
              </c:numCache>
            </c:numRef>
          </c:val>
          <c:smooth val="0"/>
          <c:extLst>
            <c:ext xmlns:c16="http://schemas.microsoft.com/office/drawing/2014/chart" uri="{C3380CC4-5D6E-409C-BE32-E72D297353CC}">
              <c16:uniqueId val="{00000003-6D9B-4A28-A9DF-19D2BF06519A}"/>
            </c:ext>
          </c:extLst>
        </c:ser>
        <c:ser>
          <c:idx val="0"/>
          <c:order val="4"/>
          <c:tx>
            <c:strRef>
              <c:f>B1_Berechnungen!$AE$33</c:f>
              <c:strCache>
                <c:ptCount val="1"/>
                <c:pt idx="0">
                  <c:v>Kreditstand</c:v>
                </c:pt>
              </c:strCache>
            </c:strRef>
          </c:tx>
          <c:spPr>
            <a:ln w="25400">
              <a:solidFill>
                <a:srgbClr val="000080"/>
              </a:solidFill>
              <a:prstDash val="solid"/>
            </a:ln>
          </c:spPr>
          <c:marker>
            <c:symbol val="none"/>
          </c:marke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B1_Berechnungen!$AE$36:$AE$60</c:f>
              <c:numCache>
                <c:formatCode>#,##0</c:formatCode>
                <c:ptCount val="25"/>
                <c:pt idx="0">
                  <c:v>-1000000</c:v>
                </c:pt>
                <c:pt idx="1">
                  <c:v>-933333.33333333337</c:v>
                </c:pt>
                <c:pt idx="2">
                  <c:v>-866666.66666666663</c:v>
                </c:pt>
                <c:pt idx="3">
                  <c:v>-800000</c:v>
                </c:pt>
                <c:pt idx="4">
                  <c:v>-733333.33333333326</c:v>
                </c:pt>
                <c:pt idx="5">
                  <c:v>-666666.66666666663</c:v>
                </c:pt>
                <c:pt idx="6">
                  <c:v>-600000</c:v>
                </c:pt>
                <c:pt idx="7">
                  <c:v>-533333.33333333326</c:v>
                </c:pt>
                <c:pt idx="8">
                  <c:v>-586666.66666666663</c:v>
                </c:pt>
                <c:pt idx="9">
                  <c:v>-496000</c:v>
                </c:pt>
                <c:pt idx="10">
                  <c:v>-405333.33333333326</c:v>
                </c:pt>
                <c:pt idx="11">
                  <c:v>-314666.66666666663</c:v>
                </c:pt>
                <c:pt idx="12">
                  <c:v>-224000</c:v>
                </c:pt>
                <c:pt idx="13">
                  <c:v>-133333.33333333326</c:v>
                </c:pt>
                <c:pt idx="14">
                  <c:v>-66666.666666666628</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4-6D9B-4A28-A9DF-19D2BF06519A}"/>
            </c:ext>
          </c:extLst>
        </c:ser>
        <c:ser>
          <c:idx val="5"/>
          <c:order val="5"/>
          <c:tx>
            <c:strRef>
              <c:f>B1_Berechnungen!$AF$33</c:f>
              <c:strCache>
                <c:ptCount val="1"/>
                <c:pt idx="0">
                  <c:v>Restwert der Anlagen</c:v>
                </c:pt>
              </c:strCache>
            </c:strRef>
          </c:tx>
          <c:marker>
            <c:symbol val="none"/>
          </c:marke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B1_Berechnungen!$AF$36:$AF$60</c:f>
              <c:numCache>
                <c:formatCode>#,##0</c:formatCode>
                <c:ptCount val="25"/>
                <c:pt idx="0">
                  <c:v>284000</c:v>
                </c:pt>
                <c:pt idx="1">
                  <c:v>710000</c:v>
                </c:pt>
                <c:pt idx="2">
                  <c:v>1376166.6666666667</c:v>
                </c:pt>
                <c:pt idx="3">
                  <c:v>1332333.3333333335</c:v>
                </c:pt>
                <c:pt idx="4">
                  <c:v>1288500.0000000002</c:v>
                </c:pt>
                <c:pt idx="5">
                  <c:v>1244666.666666667</c:v>
                </c:pt>
                <c:pt idx="6">
                  <c:v>1200833.3333333337</c:v>
                </c:pt>
                <c:pt idx="7">
                  <c:v>1157000.0000000005</c:v>
                </c:pt>
                <c:pt idx="8">
                  <c:v>1113166.6666666672</c:v>
                </c:pt>
                <c:pt idx="9">
                  <c:v>1069333.333333334</c:v>
                </c:pt>
                <c:pt idx="10">
                  <c:v>1025500.0000000006</c:v>
                </c:pt>
                <c:pt idx="11">
                  <c:v>981666.66666666721</c:v>
                </c:pt>
                <c:pt idx="12">
                  <c:v>937833.33333333384</c:v>
                </c:pt>
                <c:pt idx="13">
                  <c:v>894000.00000000047</c:v>
                </c:pt>
                <c:pt idx="14">
                  <c:v>850166.66666666709</c:v>
                </c:pt>
                <c:pt idx="15">
                  <c:v>806333.33333333372</c:v>
                </c:pt>
                <c:pt idx="16">
                  <c:v>762500.00000000035</c:v>
                </c:pt>
                <c:pt idx="17">
                  <c:v>741671.42050024029</c:v>
                </c:pt>
                <c:pt idx="18">
                  <c:v>697623.46189308027</c:v>
                </c:pt>
                <c:pt idx="19">
                  <c:v>653575.50328592025</c:v>
                </c:pt>
                <c:pt idx="20">
                  <c:v>609527.54467876023</c:v>
                </c:pt>
                <c:pt idx="21">
                  <c:v>565479.58607160021</c:v>
                </c:pt>
                <c:pt idx="22">
                  <c:v>1005103.8426446677</c:v>
                </c:pt>
                <c:pt idx="23">
                  <c:v>956652.08323854837</c:v>
                </c:pt>
                <c:pt idx="24">
                  <c:v>908200.32383242901</c:v>
                </c:pt>
              </c:numCache>
            </c:numRef>
          </c:val>
          <c:smooth val="0"/>
          <c:extLst>
            <c:ext xmlns:c16="http://schemas.microsoft.com/office/drawing/2014/chart" uri="{C3380CC4-5D6E-409C-BE32-E72D297353CC}">
              <c16:uniqueId val="{00000000-4B84-4DEF-97D1-9BCB34D7D3B2}"/>
            </c:ext>
          </c:extLst>
        </c:ser>
        <c:dLbls>
          <c:showLegendKey val="0"/>
          <c:showVal val="0"/>
          <c:showCatName val="0"/>
          <c:showSerName val="0"/>
          <c:showPercent val="0"/>
          <c:showBubbleSize val="0"/>
        </c:dLbls>
        <c:smooth val="0"/>
        <c:axId val="443528312"/>
        <c:axId val="443528704"/>
      </c:lineChart>
      <c:catAx>
        <c:axId val="443528312"/>
        <c:scaling>
          <c:orientation val="minMax"/>
        </c:scaling>
        <c:delete val="0"/>
        <c:axPos val="b"/>
        <c:title>
          <c:tx>
            <c:rich>
              <a:bodyPr/>
              <a:lstStyle/>
              <a:p>
                <a:pPr>
                  <a:defRPr sz="1000"/>
                </a:pPr>
                <a:r>
                  <a:rPr lang="de-DE" sz="1000"/>
                  <a:t>Jahr</a:t>
                </a:r>
              </a:p>
            </c:rich>
          </c:tx>
          <c:layout>
            <c:manualLayout>
              <c:xMode val="edge"/>
              <c:yMode val="edge"/>
              <c:x val="0.53058726390398103"/>
              <c:y val="0.86444584426946602"/>
            </c:manualLayout>
          </c:layout>
          <c:overlay val="0"/>
          <c:spPr>
            <a:noFill/>
            <a:ln w="25400">
              <a:noFill/>
            </a:ln>
          </c:spPr>
        </c:title>
        <c:numFmt formatCode="0" sourceLinked="1"/>
        <c:majorTickMark val="none"/>
        <c:minorTickMark val="none"/>
        <c:tickLblPos val="low"/>
        <c:spPr>
          <a:ln w="3175">
            <a:solidFill>
              <a:srgbClr val="000000"/>
            </a:solidFill>
            <a:prstDash val="solid"/>
          </a:ln>
        </c:spPr>
        <c:txPr>
          <a:bodyPr rot="0" vert="horz"/>
          <a:lstStyle/>
          <a:p>
            <a:pPr>
              <a:defRPr sz="1000"/>
            </a:pPr>
            <a:endParaRPr lang="de-DE"/>
          </a:p>
        </c:txPr>
        <c:crossAx val="443528704"/>
        <c:crosses val="autoZero"/>
        <c:auto val="1"/>
        <c:lblAlgn val="ctr"/>
        <c:lblOffset val="100"/>
        <c:tickLblSkip val="1"/>
        <c:tickMarkSkip val="1"/>
        <c:noMultiLvlLbl val="0"/>
      </c:catAx>
      <c:valAx>
        <c:axId val="443528704"/>
        <c:scaling>
          <c:orientation val="minMax"/>
        </c:scaling>
        <c:delete val="0"/>
        <c:axPos val="l"/>
        <c:majorGridlines>
          <c:spPr>
            <a:ln w="3175">
              <a:solidFill>
                <a:srgbClr val="000000"/>
              </a:solidFill>
              <a:prstDash val="solid"/>
            </a:ln>
          </c:spPr>
        </c:majorGridlines>
        <c:title>
          <c:tx>
            <c:rich>
              <a:bodyPr/>
              <a:lstStyle/>
              <a:p>
                <a:pPr>
                  <a:defRPr sz="1000"/>
                </a:pPr>
                <a:r>
                  <a:rPr lang="de-DE" sz="1000"/>
                  <a:t>Betrag [CHF]</a:t>
                </a:r>
              </a:p>
            </c:rich>
          </c:tx>
          <c:layout>
            <c:manualLayout>
              <c:xMode val="edge"/>
              <c:yMode val="edge"/>
              <c:x val="1.953125E-2"/>
              <c:y val="0.388334033245843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443528312"/>
        <c:crosses val="autoZero"/>
        <c:crossBetween val="between"/>
      </c:valAx>
      <c:spPr>
        <a:noFill/>
        <a:ln w="12700">
          <a:solidFill>
            <a:schemeClr val="tx1"/>
          </a:solidFill>
          <a:prstDash val="solid"/>
        </a:ln>
      </c:spPr>
    </c:plotArea>
    <c:legend>
      <c:legendPos val="b"/>
      <c:layout>
        <c:manualLayout>
          <c:xMode val="edge"/>
          <c:yMode val="edge"/>
          <c:x val="0"/>
          <c:y val="0.94500158666872802"/>
          <c:w val="0.89999995431214885"/>
          <c:h val="5.499841333127202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de-DE" sz="1400" b="1"/>
              <a:t>Kreditstand / Restwertentwicklung</a:t>
            </a:r>
          </a:p>
        </c:rich>
      </c:tx>
      <c:layout>
        <c:manualLayout>
          <c:xMode val="edge"/>
          <c:yMode val="edge"/>
          <c:x val="0.34179708005249299"/>
          <c:y val="2.8333333333333301E-2"/>
        </c:manualLayout>
      </c:layout>
      <c:overlay val="0"/>
      <c:spPr>
        <a:noFill/>
        <a:ln w="25400">
          <a:noFill/>
        </a:ln>
      </c:spPr>
    </c:title>
    <c:autoTitleDeleted val="0"/>
    <c:plotArea>
      <c:layout>
        <c:manualLayout>
          <c:layoutTarget val="inner"/>
          <c:xMode val="edge"/>
          <c:yMode val="edge"/>
          <c:x val="0.11820819217112327"/>
          <c:y val="0.12414660354729856"/>
          <c:w val="0.8546034466382787"/>
          <c:h val="0.72164912695634031"/>
        </c:manualLayout>
      </c:layout>
      <c:areaChart>
        <c:grouping val="standard"/>
        <c:varyColors val="0"/>
        <c:ser>
          <c:idx val="0"/>
          <c:order val="0"/>
          <c:tx>
            <c:strRef>
              <c:f>B1_Berechnungen!$AE$33</c:f>
              <c:strCache>
                <c:ptCount val="1"/>
                <c:pt idx="0">
                  <c:v>Kreditstand</c:v>
                </c:pt>
              </c:strCache>
            </c:strRef>
          </c:tx>
          <c:spPr>
            <a:solidFill>
              <a:schemeClr val="accent1">
                <a:lumMod val="60000"/>
                <a:lumOff val="40000"/>
              </a:schemeClr>
            </a:solidFill>
            <a:ln w="12700">
              <a:solidFill>
                <a:schemeClr val="accent1"/>
              </a:solidFill>
              <a:prstDash val="solid"/>
            </a:ln>
          </c:spP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B1_Berechnungen!$AE$36:$AE$60</c:f>
              <c:numCache>
                <c:formatCode>#,##0</c:formatCode>
                <c:ptCount val="25"/>
                <c:pt idx="0">
                  <c:v>-1000000</c:v>
                </c:pt>
                <c:pt idx="1">
                  <c:v>-933333.33333333337</c:v>
                </c:pt>
                <c:pt idx="2">
                  <c:v>-866666.66666666663</c:v>
                </c:pt>
                <c:pt idx="3">
                  <c:v>-800000</c:v>
                </c:pt>
                <c:pt idx="4">
                  <c:v>-733333.33333333326</c:v>
                </c:pt>
                <c:pt idx="5">
                  <c:v>-666666.66666666663</c:v>
                </c:pt>
                <c:pt idx="6">
                  <c:v>-600000</c:v>
                </c:pt>
                <c:pt idx="7">
                  <c:v>-533333.33333333326</c:v>
                </c:pt>
                <c:pt idx="8">
                  <c:v>-586666.66666666663</c:v>
                </c:pt>
                <c:pt idx="9">
                  <c:v>-496000</c:v>
                </c:pt>
                <c:pt idx="10">
                  <c:v>-405333.33333333326</c:v>
                </c:pt>
                <c:pt idx="11">
                  <c:v>-314666.66666666663</c:v>
                </c:pt>
                <c:pt idx="12">
                  <c:v>-224000</c:v>
                </c:pt>
                <c:pt idx="13">
                  <c:v>-133333.33333333326</c:v>
                </c:pt>
                <c:pt idx="14">
                  <c:v>-66666.666666666628</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398E-4E97-8B6C-8D1801B22DF1}"/>
            </c:ext>
          </c:extLst>
        </c:ser>
        <c:ser>
          <c:idx val="5"/>
          <c:order val="1"/>
          <c:tx>
            <c:strRef>
              <c:f>B1_Berechnungen!$AF$33</c:f>
              <c:strCache>
                <c:ptCount val="1"/>
                <c:pt idx="0">
                  <c:v>Restwert der Anlagen</c:v>
                </c:pt>
              </c:strCache>
            </c:strRef>
          </c:tx>
          <c:spPr>
            <a:solidFill>
              <a:schemeClr val="accent6">
                <a:lumMod val="40000"/>
                <a:lumOff val="60000"/>
              </a:schemeClr>
            </a:solidFill>
            <a:ln w="12700">
              <a:solidFill>
                <a:schemeClr val="accent6"/>
              </a:solidFill>
            </a:ln>
          </c:spP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B1_Berechnungen!$AF$36:$AF$60</c:f>
              <c:numCache>
                <c:formatCode>#,##0</c:formatCode>
                <c:ptCount val="25"/>
                <c:pt idx="0">
                  <c:v>284000</c:v>
                </c:pt>
                <c:pt idx="1">
                  <c:v>710000</c:v>
                </c:pt>
                <c:pt idx="2">
                  <c:v>1376166.6666666667</c:v>
                </c:pt>
                <c:pt idx="3">
                  <c:v>1332333.3333333335</c:v>
                </c:pt>
                <c:pt idx="4">
                  <c:v>1288500.0000000002</c:v>
                </c:pt>
                <c:pt idx="5">
                  <c:v>1244666.666666667</c:v>
                </c:pt>
                <c:pt idx="6">
                  <c:v>1200833.3333333337</c:v>
                </c:pt>
                <c:pt idx="7">
                  <c:v>1157000.0000000005</c:v>
                </c:pt>
                <c:pt idx="8">
                  <c:v>1113166.6666666672</c:v>
                </c:pt>
                <c:pt idx="9">
                  <c:v>1069333.333333334</c:v>
                </c:pt>
                <c:pt idx="10">
                  <c:v>1025500.0000000006</c:v>
                </c:pt>
                <c:pt idx="11">
                  <c:v>981666.66666666721</c:v>
                </c:pt>
                <c:pt idx="12">
                  <c:v>937833.33333333384</c:v>
                </c:pt>
                <c:pt idx="13">
                  <c:v>894000.00000000047</c:v>
                </c:pt>
                <c:pt idx="14">
                  <c:v>850166.66666666709</c:v>
                </c:pt>
                <c:pt idx="15">
                  <c:v>806333.33333333372</c:v>
                </c:pt>
                <c:pt idx="16">
                  <c:v>762500.00000000035</c:v>
                </c:pt>
                <c:pt idx="17">
                  <c:v>741671.42050024029</c:v>
                </c:pt>
                <c:pt idx="18">
                  <c:v>697623.46189308027</c:v>
                </c:pt>
                <c:pt idx="19">
                  <c:v>653575.50328592025</c:v>
                </c:pt>
                <c:pt idx="20">
                  <c:v>609527.54467876023</c:v>
                </c:pt>
                <c:pt idx="21">
                  <c:v>565479.58607160021</c:v>
                </c:pt>
                <c:pt idx="22">
                  <c:v>1005103.8426446677</c:v>
                </c:pt>
                <c:pt idx="23">
                  <c:v>956652.08323854837</c:v>
                </c:pt>
                <c:pt idx="24">
                  <c:v>908200.32383242901</c:v>
                </c:pt>
              </c:numCache>
            </c:numRef>
          </c:val>
          <c:extLst>
            <c:ext xmlns:c16="http://schemas.microsoft.com/office/drawing/2014/chart" uri="{C3380CC4-5D6E-409C-BE32-E72D297353CC}">
              <c16:uniqueId val="{00000005-398E-4E97-8B6C-8D1801B22DF1}"/>
            </c:ext>
          </c:extLst>
        </c:ser>
        <c:dLbls>
          <c:showLegendKey val="0"/>
          <c:showVal val="0"/>
          <c:showCatName val="0"/>
          <c:showSerName val="0"/>
          <c:showPercent val="0"/>
          <c:showBubbleSize val="0"/>
        </c:dLbls>
        <c:axId val="363559576"/>
        <c:axId val="363561144"/>
      </c:areaChart>
      <c:lineChart>
        <c:grouping val="standard"/>
        <c:varyColors val="0"/>
        <c:ser>
          <c:idx val="2"/>
          <c:order val="3"/>
          <c:tx>
            <c:strRef>
              <c:f>B1_Berechnungen!$AB$33</c:f>
              <c:strCache>
                <c:ptCount val="1"/>
                <c:pt idx="0">
                  <c:v>Kumulierter Cashflow</c:v>
                </c:pt>
              </c:strCache>
            </c:strRef>
          </c:tx>
          <c:spPr>
            <a:ln>
              <a:solidFill>
                <a:schemeClr val="accent2"/>
              </a:solidFill>
            </a:ln>
          </c:spPr>
          <c:marker>
            <c:symbol val="none"/>
          </c:marke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B1_Berechnungen!$AB$36:$AB$60</c:f>
              <c:numCache>
                <c:formatCode>#,##0</c:formatCode>
                <c:ptCount val="25"/>
                <c:pt idx="0">
                  <c:v>630600</c:v>
                </c:pt>
                <c:pt idx="1">
                  <c:v>32526</c:v>
                </c:pt>
                <c:pt idx="2">
                  <c:v>-684972.44168055546</c:v>
                </c:pt>
                <c:pt idx="3">
                  <c:v>-194817.23969943373</c:v>
                </c:pt>
                <c:pt idx="4">
                  <c:v>-137617.29147103115</c:v>
                </c:pt>
                <c:pt idx="5">
                  <c:v>-122618.60574049187</c:v>
                </c:pt>
                <c:pt idx="6">
                  <c:v>-105571.97788984649</c:v>
                </c:pt>
                <c:pt idx="7">
                  <c:v>-86473.544960086743</c:v>
                </c:pt>
                <c:pt idx="8">
                  <c:v>49880.594632364999</c:v>
                </c:pt>
                <c:pt idx="9">
                  <c:v>45254.381481902325</c:v>
                </c:pt>
                <c:pt idx="10">
                  <c:v>43651.795583843355</c:v>
                </c:pt>
                <c:pt idx="11">
                  <c:v>45076.856728440325</c:v>
                </c:pt>
                <c:pt idx="12">
                  <c:v>49533.624898829716</c:v>
                </c:pt>
                <c:pt idx="13">
                  <c:v>57026.200672961248</c:v>
                </c:pt>
                <c:pt idx="14">
                  <c:v>90598.725629546927</c:v>
                </c:pt>
                <c:pt idx="15">
                  <c:v>126255.38275806874</c:v>
                </c:pt>
                <c:pt idx="16">
                  <c:v>229000.39687288716</c:v>
                </c:pt>
                <c:pt idx="17">
                  <c:v>308951.98925742367</c:v>
                </c:pt>
                <c:pt idx="18">
                  <c:v>412553.22784952581</c:v>
                </c:pt>
                <c:pt idx="19">
                  <c:v>506589.08635705675</c:v>
                </c:pt>
                <c:pt idx="20">
                  <c:v>601063.96111841779</c:v>
                </c:pt>
                <c:pt idx="21">
                  <c:v>695982.29243038048</c:v>
                </c:pt>
                <c:pt idx="22">
                  <c:v>303272.54900848353</c:v>
                </c:pt>
                <c:pt idx="23">
                  <c:v>399091.29234776075</c:v>
                </c:pt>
                <c:pt idx="24">
                  <c:v>495367.08129603951</c:v>
                </c:pt>
              </c:numCache>
            </c:numRef>
          </c:val>
          <c:smooth val="0"/>
          <c:extLst>
            <c:ext xmlns:c16="http://schemas.microsoft.com/office/drawing/2014/chart" uri="{C3380CC4-5D6E-409C-BE32-E72D297353CC}">
              <c16:uniqueId val="{00000001-9329-4FF6-9123-398DE74F45F2}"/>
            </c:ext>
          </c:extLst>
        </c:ser>
        <c:dLbls>
          <c:showLegendKey val="0"/>
          <c:showVal val="0"/>
          <c:showCatName val="0"/>
          <c:showSerName val="0"/>
          <c:showPercent val="0"/>
          <c:showBubbleSize val="0"/>
        </c:dLbls>
        <c:marker val="1"/>
        <c:smooth val="0"/>
        <c:axId val="363559576"/>
        <c:axId val="363561144"/>
        <c:extLst>
          <c:ext xmlns:c15="http://schemas.microsoft.com/office/drawing/2012/chart" uri="{02D57815-91ED-43cb-92C2-25804820EDAC}">
            <c15:filteredLineSeries>
              <c15:ser>
                <c:idx val="1"/>
                <c:order val="2"/>
                <c:tx>
                  <c:strRef>
                    <c:extLst>
                      <c:ext uri="{02D57815-91ED-43cb-92C2-25804820EDAC}">
                        <c15:formulaRef>
                          <c15:sqref>B1_Berechnungen!$AA$33</c15:sqref>
                        </c15:formulaRef>
                      </c:ext>
                    </c:extLst>
                    <c:strCache>
                      <c:ptCount val="1"/>
                      <c:pt idx="0">
                        <c:v>Cashflow</c:v>
                      </c:pt>
                    </c:strCache>
                  </c:strRef>
                </c:tx>
                <c:spPr>
                  <a:ln>
                    <a:solidFill>
                      <a:schemeClr val="accent2"/>
                    </a:solidFill>
                  </a:ln>
                </c:spPr>
                <c:marker>
                  <c:symbol val="none"/>
                </c:marker>
                <c:cat>
                  <c:numRef>
                    <c:extLst>
                      <c:ext uri="{02D57815-91ED-43cb-92C2-25804820EDAC}">
                        <c15:formulaRef>
                          <c15:sqref>B1_Berechnungen!$B$36:$B$60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c:ext uri="{02D57815-91ED-43cb-92C2-25804820EDAC}">
                        <c15:formulaRef>
                          <c15:sqref>B1_Berechnungen!$AA$36:$AA$60</c15:sqref>
                        </c15:formulaRef>
                      </c:ext>
                    </c:extLst>
                    <c:numCache>
                      <c:formatCode>#,##0</c:formatCode>
                      <c:ptCount val="25"/>
                      <c:pt idx="0">
                        <c:v>630600</c:v>
                      </c:pt>
                      <c:pt idx="1">
                        <c:v>-598074</c:v>
                      </c:pt>
                      <c:pt idx="2">
                        <c:v>-717498.44168055546</c:v>
                      </c:pt>
                      <c:pt idx="3">
                        <c:v>490155.20198112173</c:v>
                      </c:pt>
                      <c:pt idx="4">
                        <c:v>57199.948228402602</c:v>
                      </c:pt>
                      <c:pt idx="5">
                        <c:v>14998.685730539277</c:v>
                      </c:pt>
                      <c:pt idx="6">
                        <c:v>17046.627850645382</c:v>
                      </c:pt>
                      <c:pt idx="7">
                        <c:v>19098.432929759743</c:v>
                      </c:pt>
                      <c:pt idx="8">
                        <c:v>136354.13959245174</c:v>
                      </c:pt>
                      <c:pt idx="9">
                        <c:v>-4626.2131504626741</c:v>
                      </c:pt>
                      <c:pt idx="10">
                        <c:v>-1602.5858980589692</c:v>
                      </c:pt>
                      <c:pt idx="11">
                        <c:v>1425.0611445969698</c:v>
                      </c:pt>
                      <c:pt idx="12">
                        <c:v>4456.7681703893904</c:v>
                      </c:pt>
                      <c:pt idx="13">
                        <c:v>7492.5757741315319</c:v>
                      </c:pt>
                      <c:pt idx="14">
                        <c:v>33572.524956585679</c:v>
                      </c:pt>
                      <c:pt idx="15">
                        <c:v>35656.657128521809</c:v>
                      </c:pt>
                      <c:pt idx="16">
                        <c:v>102745.01411481842</c:v>
                      </c:pt>
                      <c:pt idx="17">
                        <c:v>79951.592384536518</c:v>
                      </c:pt>
                      <c:pt idx="18">
                        <c:v>103601.23859210213</c:v>
                      </c:pt>
                      <c:pt idx="19">
                        <c:v>94035.858507530967</c:v>
                      </c:pt>
                      <c:pt idx="20">
                        <c:v>94474.874761361076</c:v>
                      </c:pt>
                      <c:pt idx="21">
                        <c:v>94918.331311962713</c:v>
                      </c:pt>
                      <c:pt idx="22">
                        <c:v>-392709.74342189694</c:v>
                      </c:pt>
                      <c:pt idx="23">
                        <c:v>95818.743339277222</c:v>
                      </c:pt>
                      <c:pt idx="24">
                        <c:v>96275.788948278787</c:v>
                      </c:pt>
                    </c:numCache>
                  </c:numRef>
                </c:val>
                <c:smooth val="0"/>
                <c:extLst>
                  <c:ext xmlns:c16="http://schemas.microsoft.com/office/drawing/2014/chart" uri="{C3380CC4-5D6E-409C-BE32-E72D297353CC}">
                    <c16:uniqueId val="{00000000-9329-4FF6-9123-398DE74F45F2}"/>
                  </c:ext>
                </c:extLst>
              </c15:ser>
            </c15:filteredLineSeries>
          </c:ext>
        </c:extLst>
      </c:lineChart>
      <c:catAx>
        <c:axId val="363559576"/>
        <c:scaling>
          <c:orientation val="minMax"/>
        </c:scaling>
        <c:delete val="0"/>
        <c:axPos val="b"/>
        <c:numFmt formatCode="0" sourceLinked="1"/>
        <c:majorTickMark val="none"/>
        <c:minorTickMark val="none"/>
        <c:tickLblPos val="low"/>
        <c:spPr>
          <a:ln w="3175">
            <a:solidFill>
              <a:srgbClr val="000000"/>
            </a:solidFill>
            <a:prstDash val="solid"/>
          </a:ln>
        </c:spPr>
        <c:txPr>
          <a:bodyPr rot="-2400000" vert="horz"/>
          <a:lstStyle/>
          <a:p>
            <a:pPr>
              <a:defRPr sz="1000"/>
            </a:pPr>
            <a:endParaRPr lang="de-DE"/>
          </a:p>
        </c:txPr>
        <c:crossAx val="363561144"/>
        <c:crosses val="autoZero"/>
        <c:auto val="1"/>
        <c:lblAlgn val="ctr"/>
        <c:lblOffset val="100"/>
        <c:noMultiLvlLbl val="0"/>
      </c:catAx>
      <c:valAx>
        <c:axId val="363561144"/>
        <c:scaling>
          <c:orientation val="minMax"/>
        </c:scaling>
        <c:delete val="0"/>
        <c:axPos val="l"/>
        <c:majorGridlines>
          <c:spPr>
            <a:ln w="3175">
              <a:solidFill>
                <a:srgbClr val="000000"/>
              </a:solidFill>
              <a:prstDash val="solid"/>
            </a:ln>
          </c:spPr>
        </c:majorGridlines>
        <c:title>
          <c:tx>
            <c:rich>
              <a:bodyPr/>
              <a:lstStyle/>
              <a:p>
                <a:pPr>
                  <a:defRPr sz="1000"/>
                </a:pPr>
                <a:r>
                  <a:rPr lang="de-DE" sz="1000"/>
                  <a:t>Betrag [CHF]</a:t>
                </a:r>
              </a:p>
            </c:rich>
          </c:tx>
          <c:layout>
            <c:manualLayout>
              <c:xMode val="edge"/>
              <c:yMode val="edge"/>
              <c:x val="1.953125E-2"/>
              <c:y val="0.388334033245843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363559576"/>
        <c:crosses val="autoZero"/>
        <c:crossBetween val="between"/>
      </c:valAx>
      <c:spPr>
        <a:noFill/>
        <a:ln w="12700">
          <a:solidFill>
            <a:schemeClr val="tx1"/>
          </a:solidFill>
          <a:prstDash val="solid"/>
        </a:ln>
      </c:spPr>
    </c:plotArea>
    <c:legend>
      <c:legendPos val="b"/>
      <c:layout>
        <c:manualLayout>
          <c:xMode val="edge"/>
          <c:yMode val="edge"/>
          <c:x val="3.125E-2"/>
          <c:y val="0.94500157480314995"/>
          <c:w val="0.56747095959595961"/>
          <c:h val="5.4998499967390597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de-DE" sz="1400" b="1"/>
              <a:t>Wirtschaftliche Entwicklung</a:t>
            </a:r>
          </a:p>
        </c:rich>
      </c:tx>
      <c:layout>
        <c:manualLayout>
          <c:xMode val="edge"/>
          <c:yMode val="edge"/>
          <c:x val="0.34179708005249299"/>
          <c:y val="2.8333333333333301E-2"/>
        </c:manualLayout>
      </c:layout>
      <c:overlay val="0"/>
      <c:spPr>
        <a:noFill/>
        <a:ln w="25400">
          <a:noFill/>
        </a:ln>
      </c:spPr>
    </c:title>
    <c:autoTitleDeleted val="0"/>
    <c:plotArea>
      <c:layout>
        <c:manualLayout>
          <c:layoutTarget val="inner"/>
          <c:xMode val="edge"/>
          <c:yMode val="edge"/>
          <c:x val="0.12510610337602029"/>
          <c:y val="0.12414665701104162"/>
          <c:w val="0.8459087291851064"/>
          <c:h val="0.72164912695634031"/>
        </c:manualLayout>
      </c:layout>
      <c:barChart>
        <c:barDir val="col"/>
        <c:grouping val="clustered"/>
        <c:varyColors val="0"/>
        <c:ser>
          <c:idx val="1"/>
          <c:order val="0"/>
          <c:tx>
            <c:strRef>
              <c:f>B1_Berechnungen!$E$31</c:f>
              <c:strCache>
                <c:ptCount val="1"/>
                <c:pt idx="0">
                  <c:v>Aufwand</c:v>
                </c:pt>
              </c:strCache>
            </c:strRef>
          </c:tx>
          <c:spPr>
            <a:solidFill>
              <a:schemeClr val="accent1"/>
            </a:solidFill>
            <a:ln w="12700">
              <a:solidFill>
                <a:schemeClr val="accent1"/>
              </a:solidFill>
              <a:prstDash val="solid"/>
            </a:ln>
          </c:spPr>
          <c:invertIfNegative val="0"/>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B1_Berechnungen!$O$36:$O$60</c:f>
              <c:numCache>
                <c:formatCode>#,##0</c:formatCode>
                <c:ptCount val="25"/>
                <c:pt idx="0">
                  <c:v>42400</c:v>
                </c:pt>
                <c:pt idx="1">
                  <c:v>40907.333333333336</c:v>
                </c:pt>
                <c:pt idx="2">
                  <c:v>135165.74597222221</c:v>
                </c:pt>
                <c:pt idx="3">
                  <c:v>188406.64088045835</c:v>
                </c:pt>
                <c:pt idx="4">
                  <c:v>257051.65294678809</c:v>
                </c:pt>
                <c:pt idx="5">
                  <c:v>260024.0149463625</c:v>
                </c:pt>
                <c:pt idx="6">
                  <c:v>258966.87732750765</c:v>
                </c:pt>
                <c:pt idx="7">
                  <c:v>257915.97357024092</c:v>
                </c:pt>
                <c:pt idx="8">
                  <c:v>261671.36599932137</c:v>
                </c:pt>
                <c:pt idx="9">
                  <c:v>259673.11756275664</c:v>
                </c:pt>
                <c:pt idx="10">
                  <c:v>257681.29183803586</c:v>
                </c:pt>
                <c:pt idx="11">
                  <c:v>255695.95303842457</c:v>
                </c:pt>
                <c:pt idx="12">
                  <c:v>253717.16601932229</c:v>
                </c:pt>
                <c:pt idx="13">
                  <c:v>251744.99628468402</c:v>
                </c:pt>
                <c:pt idx="14">
                  <c:v>250739.50999350546</c:v>
                </c:pt>
                <c:pt idx="15">
                  <c:v>249740.77396637382</c:v>
                </c:pt>
                <c:pt idx="16">
                  <c:v>250415.52235875031</c:v>
                </c:pt>
                <c:pt idx="17">
                  <c:v>251311.78194147858</c:v>
                </c:pt>
                <c:pt idx="18">
                  <c:v>252000.37101222735</c:v>
                </c:pt>
                <c:pt idx="19">
                  <c:v>252695.98437859979</c:v>
                </c:pt>
                <c:pt idx="20">
                  <c:v>253398.69226971181</c:v>
                </c:pt>
                <c:pt idx="21">
                  <c:v>254108.56561697152</c:v>
                </c:pt>
                <c:pt idx="22">
                  <c:v>259229.47686006228</c:v>
                </c:pt>
                <c:pt idx="23">
                  <c:v>259953.89675819743</c:v>
                </c:pt>
                <c:pt idx="24">
                  <c:v>260685.6991910417</c:v>
                </c:pt>
              </c:numCache>
            </c:numRef>
          </c:val>
          <c:extLst>
            <c:ext xmlns:c16="http://schemas.microsoft.com/office/drawing/2014/chart" uri="{C3380CC4-5D6E-409C-BE32-E72D297353CC}">
              <c16:uniqueId val="{00000000-CF4C-4FD7-B65D-9760A1674003}"/>
            </c:ext>
          </c:extLst>
        </c:ser>
        <c:ser>
          <c:idx val="2"/>
          <c:order val="1"/>
          <c:tx>
            <c:strRef>
              <c:f>B1_Berechnungen!$P$31</c:f>
              <c:strCache>
                <c:ptCount val="1"/>
                <c:pt idx="0">
                  <c:v>Ertrag</c:v>
                </c:pt>
              </c:strCache>
            </c:strRef>
          </c:tx>
          <c:spPr>
            <a:solidFill>
              <a:schemeClr val="accent6">
                <a:lumMod val="60000"/>
                <a:lumOff val="40000"/>
              </a:schemeClr>
            </a:solidFill>
            <a:ln w="12700">
              <a:solidFill>
                <a:schemeClr val="accent6"/>
              </a:solidFill>
              <a:prstDash val="solid"/>
            </a:ln>
          </c:spPr>
          <c:invertIfNegative val="0"/>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B1_Berechnungen!$U$36:$U$60</c:f>
              <c:numCache>
                <c:formatCode>#,##0</c:formatCode>
                <c:ptCount val="25"/>
                <c:pt idx="0">
                  <c:v>0</c:v>
                </c:pt>
                <c:pt idx="1">
                  <c:v>0</c:v>
                </c:pt>
                <c:pt idx="2">
                  <c:v>258000.637625</c:v>
                </c:pt>
                <c:pt idx="3">
                  <c:v>701395.17619491345</c:v>
                </c:pt>
                <c:pt idx="4">
                  <c:v>337084.93450852402</c:v>
                </c:pt>
                <c:pt idx="5">
                  <c:v>297856.0340102351</c:v>
                </c:pt>
                <c:pt idx="6">
                  <c:v>298846.83851148636</c:v>
                </c:pt>
                <c:pt idx="7">
                  <c:v>299847.739833334</c:v>
                </c:pt>
                <c:pt idx="8">
                  <c:v>300858.83892510645</c:v>
                </c:pt>
                <c:pt idx="9">
                  <c:v>301880.2377456273</c:v>
                </c:pt>
                <c:pt idx="10">
                  <c:v>302912.03927331022</c:v>
                </c:pt>
                <c:pt idx="11">
                  <c:v>303954.34751635487</c:v>
                </c:pt>
                <c:pt idx="12">
                  <c:v>305007.26752304501</c:v>
                </c:pt>
                <c:pt idx="13">
                  <c:v>306070.90539214888</c:v>
                </c:pt>
                <c:pt idx="14">
                  <c:v>307145.36828342447</c:v>
                </c:pt>
                <c:pt idx="15">
                  <c:v>308230.76442822895</c:v>
                </c:pt>
                <c:pt idx="16">
                  <c:v>309327.20314023539</c:v>
                </c:pt>
                <c:pt idx="17">
                  <c:v>310434.79482625506</c:v>
                </c:pt>
                <c:pt idx="18">
                  <c:v>311553.65099716949</c:v>
                </c:pt>
                <c:pt idx="19">
                  <c:v>302683.88427897077</c:v>
                </c:pt>
                <c:pt idx="20">
                  <c:v>303825.6084239129</c:v>
                </c:pt>
                <c:pt idx="21">
                  <c:v>304978.93832177424</c:v>
                </c:pt>
                <c:pt idx="22">
                  <c:v>306143.99001123285</c:v>
                </c:pt>
                <c:pt idx="23">
                  <c:v>307320.88069135533</c:v>
                </c:pt>
                <c:pt idx="24">
                  <c:v>308509.72873320116</c:v>
                </c:pt>
              </c:numCache>
            </c:numRef>
          </c:val>
          <c:extLst>
            <c:ext xmlns:c16="http://schemas.microsoft.com/office/drawing/2014/chart" uri="{C3380CC4-5D6E-409C-BE32-E72D297353CC}">
              <c16:uniqueId val="{00000001-CF4C-4FD7-B65D-9760A1674003}"/>
            </c:ext>
          </c:extLst>
        </c:ser>
        <c:dLbls>
          <c:showLegendKey val="0"/>
          <c:showVal val="0"/>
          <c:showCatName val="0"/>
          <c:showSerName val="0"/>
          <c:showPercent val="0"/>
          <c:showBubbleSize val="0"/>
        </c:dLbls>
        <c:gapWidth val="150"/>
        <c:axId val="363558008"/>
        <c:axId val="363558792"/>
      </c:barChart>
      <c:lineChart>
        <c:grouping val="standard"/>
        <c:varyColors val="0"/>
        <c:ser>
          <c:idx val="5"/>
          <c:order val="5"/>
          <c:tx>
            <c:strRef>
              <c:f>B1_Berechnungen!$W$33</c:f>
              <c:strCache>
                <c:ptCount val="1"/>
                <c:pt idx="0">
                  <c:v>Kumulierter Gewinn / Verlust</c:v>
                </c:pt>
              </c:strCache>
            </c:strRef>
          </c:tx>
          <c:spPr>
            <a:ln>
              <a:solidFill>
                <a:schemeClr val="accent2"/>
              </a:solidFill>
            </a:ln>
          </c:spPr>
          <c:marker>
            <c:symbol val="none"/>
          </c:marke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B1_Berechnungen!$W$36:$W$60</c:f>
              <c:numCache>
                <c:formatCode>#,##0</c:formatCode>
                <c:ptCount val="25"/>
                <c:pt idx="0">
                  <c:v>-42400</c:v>
                </c:pt>
                <c:pt idx="1">
                  <c:v>-83307.333333333343</c:v>
                </c:pt>
                <c:pt idx="2">
                  <c:v>39527.558319444448</c:v>
                </c:pt>
                <c:pt idx="3">
                  <c:v>552516.09363389958</c:v>
                </c:pt>
                <c:pt idx="4">
                  <c:v>632549.37519563548</c:v>
                </c:pt>
                <c:pt idx="5">
                  <c:v>670381.39425950812</c:v>
                </c:pt>
                <c:pt idx="6">
                  <c:v>710261.35544348683</c:v>
                </c:pt>
                <c:pt idx="7">
                  <c:v>752193.12170657993</c:v>
                </c:pt>
                <c:pt idx="8">
                  <c:v>791380.59463236504</c:v>
                </c:pt>
                <c:pt idx="9">
                  <c:v>833587.7148152357</c:v>
                </c:pt>
                <c:pt idx="10">
                  <c:v>878818.46225051</c:v>
                </c:pt>
                <c:pt idx="11">
                  <c:v>927076.85672844027</c:v>
                </c:pt>
                <c:pt idx="12">
                  <c:v>978366.95823216299</c:v>
                </c:pt>
                <c:pt idx="13">
                  <c:v>1032692.8673396278</c:v>
                </c:pt>
                <c:pt idx="14">
                  <c:v>1089098.7256295469</c:v>
                </c:pt>
                <c:pt idx="15">
                  <c:v>1147588.7160914021</c:v>
                </c:pt>
                <c:pt idx="16">
                  <c:v>1206500.3968728872</c:v>
                </c:pt>
                <c:pt idx="17">
                  <c:v>1265623.4097576637</c:v>
                </c:pt>
                <c:pt idx="18">
                  <c:v>1325176.6897426059</c:v>
                </c:pt>
                <c:pt idx="19">
                  <c:v>1375164.5896429769</c:v>
                </c:pt>
                <c:pt idx="20">
                  <c:v>1425591.505797178</c:v>
                </c:pt>
                <c:pt idx="21">
                  <c:v>1476461.8785019808</c:v>
                </c:pt>
                <c:pt idx="22">
                  <c:v>1523376.3916531513</c:v>
                </c:pt>
                <c:pt idx="23">
                  <c:v>1570743.3755863092</c:v>
                </c:pt>
                <c:pt idx="24">
                  <c:v>1618567.4051284688</c:v>
                </c:pt>
              </c:numCache>
            </c:numRef>
          </c:val>
          <c:smooth val="0"/>
          <c:extLst>
            <c:ext xmlns:c16="http://schemas.microsoft.com/office/drawing/2014/chart" uri="{C3380CC4-5D6E-409C-BE32-E72D297353CC}">
              <c16:uniqueId val="{00000001-4B1D-4BB7-B876-2DD9D5FB3160}"/>
            </c:ext>
          </c:extLst>
        </c:ser>
        <c:dLbls>
          <c:showLegendKey val="0"/>
          <c:showVal val="0"/>
          <c:showCatName val="0"/>
          <c:showSerName val="0"/>
          <c:showPercent val="0"/>
          <c:showBubbleSize val="0"/>
        </c:dLbls>
        <c:marker val="1"/>
        <c:smooth val="0"/>
        <c:axId val="363558008"/>
        <c:axId val="363558792"/>
        <c:extLst>
          <c:ext xmlns:c15="http://schemas.microsoft.com/office/drawing/2012/chart" uri="{02D57815-91ED-43cb-92C2-25804820EDAC}">
            <c15:filteredLineSeries>
              <c15:ser>
                <c:idx val="3"/>
                <c:order val="2"/>
                <c:tx>
                  <c:strRef>
                    <c:extLst>
                      <c:ext uri="{02D57815-91ED-43cb-92C2-25804820EDAC}">
                        <c15:formulaRef>
                          <c15:sqref>B1_Berechnungen!$AA$33</c15:sqref>
                        </c15:formulaRef>
                      </c:ext>
                    </c:extLst>
                    <c:strCache>
                      <c:ptCount val="1"/>
                      <c:pt idx="0">
                        <c:v>Cashflow</c:v>
                      </c:pt>
                    </c:strCache>
                  </c:strRef>
                </c:tx>
                <c:spPr>
                  <a:ln w="25400">
                    <a:solidFill>
                      <a:srgbClr val="00FFFF"/>
                    </a:solidFill>
                    <a:prstDash val="solid"/>
                  </a:ln>
                </c:spPr>
                <c:marker>
                  <c:symbol val="none"/>
                </c:marker>
                <c:cat>
                  <c:numRef>
                    <c:extLst>
                      <c:ext uri="{02D57815-91ED-43cb-92C2-25804820EDAC}">
                        <c15:formulaRef>
                          <c15:sqref>B1_Berechnungen!$B$36:$B$60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c:ext uri="{02D57815-91ED-43cb-92C2-25804820EDAC}">
                        <c15:formulaRef>
                          <c15:sqref>B1_Berechnungen!$AA$36:$AA$60</c15:sqref>
                        </c15:formulaRef>
                      </c:ext>
                    </c:extLst>
                    <c:numCache>
                      <c:formatCode>#,##0</c:formatCode>
                      <c:ptCount val="25"/>
                      <c:pt idx="0">
                        <c:v>630600</c:v>
                      </c:pt>
                      <c:pt idx="1">
                        <c:v>-598074</c:v>
                      </c:pt>
                      <c:pt idx="2">
                        <c:v>-717498.44168055546</c:v>
                      </c:pt>
                      <c:pt idx="3">
                        <c:v>490155.20198112173</c:v>
                      </c:pt>
                      <c:pt idx="4">
                        <c:v>57199.948228402602</c:v>
                      </c:pt>
                      <c:pt idx="5">
                        <c:v>14998.685730539277</c:v>
                      </c:pt>
                      <c:pt idx="6">
                        <c:v>17046.627850645382</c:v>
                      </c:pt>
                      <c:pt idx="7">
                        <c:v>19098.432929759743</c:v>
                      </c:pt>
                      <c:pt idx="8">
                        <c:v>136354.13959245174</c:v>
                      </c:pt>
                      <c:pt idx="9">
                        <c:v>-4626.2131504626741</c:v>
                      </c:pt>
                      <c:pt idx="10">
                        <c:v>-1602.5858980589692</c:v>
                      </c:pt>
                      <c:pt idx="11">
                        <c:v>1425.0611445969698</c:v>
                      </c:pt>
                      <c:pt idx="12">
                        <c:v>4456.7681703893904</c:v>
                      </c:pt>
                      <c:pt idx="13">
                        <c:v>7492.5757741315319</c:v>
                      </c:pt>
                      <c:pt idx="14">
                        <c:v>33572.524956585679</c:v>
                      </c:pt>
                      <c:pt idx="15">
                        <c:v>35656.657128521809</c:v>
                      </c:pt>
                      <c:pt idx="16">
                        <c:v>102745.01411481842</c:v>
                      </c:pt>
                      <c:pt idx="17">
                        <c:v>79951.592384536518</c:v>
                      </c:pt>
                      <c:pt idx="18">
                        <c:v>103601.23859210213</c:v>
                      </c:pt>
                      <c:pt idx="19">
                        <c:v>94035.858507530967</c:v>
                      </c:pt>
                      <c:pt idx="20">
                        <c:v>94474.874761361076</c:v>
                      </c:pt>
                      <c:pt idx="21">
                        <c:v>94918.331311962713</c:v>
                      </c:pt>
                      <c:pt idx="22">
                        <c:v>-392709.74342189694</c:v>
                      </c:pt>
                      <c:pt idx="23">
                        <c:v>95818.743339277222</c:v>
                      </c:pt>
                      <c:pt idx="24">
                        <c:v>96275.788948278787</c:v>
                      </c:pt>
                    </c:numCache>
                  </c:numRef>
                </c:val>
                <c:smooth val="0"/>
                <c:extLst>
                  <c:ext xmlns:c16="http://schemas.microsoft.com/office/drawing/2014/chart" uri="{C3380CC4-5D6E-409C-BE32-E72D297353CC}">
                    <c16:uniqueId val="{00000002-CF4C-4FD7-B65D-9760A1674003}"/>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B1_Berechnungen!$AB$33</c15:sqref>
                        </c15:formulaRef>
                      </c:ext>
                    </c:extLst>
                    <c:strCache>
                      <c:ptCount val="1"/>
                      <c:pt idx="0">
                        <c:v>Kumulierter Cashflow</c:v>
                      </c:pt>
                    </c:strCache>
                  </c:strRef>
                </c:tx>
                <c:spPr>
                  <a:ln w="25400">
                    <a:solidFill>
                      <a:srgbClr val="800080"/>
                    </a:solidFill>
                    <a:prstDash val="solid"/>
                  </a:ln>
                </c:spPr>
                <c:marker>
                  <c:symbol val="none"/>
                </c:marker>
                <c:cat>
                  <c:numRef>
                    <c:extLst xmlns:c15="http://schemas.microsoft.com/office/drawing/2012/chart">
                      <c:ext xmlns:c15="http://schemas.microsoft.com/office/drawing/2012/chart" uri="{02D57815-91ED-43cb-92C2-25804820EDAC}">
                        <c15:formulaRef>
                          <c15:sqref>B1_Berechnungen!$B$36:$B$60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xmlns:c15="http://schemas.microsoft.com/office/drawing/2012/chart">
                      <c:ext xmlns:c15="http://schemas.microsoft.com/office/drawing/2012/chart" uri="{02D57815-91ED-43cb-92C2-25804820EDAC}">
                        <c15:formulaRef>
                          <c15:sqref>B1_Berechnungen!$AB$36:$AB$60</c15:sqref>
                        </c15:formulaRef>
                      </c:ext>
                    </c:extLst>
                    <c:numCache>
                      <c:formatCode>#,##0</c:formatCode>
                      <c:ptCount val="25"/>
                      <c:pt idx="0">
                        <c:v>630600</c:v>
                      </c:pt>
                      <c:pt idx="1">
                        <c:v>32526</c:v>
                      </c:pt>
                      <c:pt idx="2">
                        <c:v>-684972.44168055546</c:v>
                      </c:pt>
                      <c:pt idx="3">
                        <c:v>-194817.23969943373</c:v>
                      </c:pt>
                      <c:pt idx="4">
                        <c:v>-137617.29147103115</c:v>
                      </c:pt>
                      <c:pt idx="5">
                        <c:v>-122618.60574049187</c:v>
                      </c:pt>
                      <c:pt idx="6">
                        <c:v>-105571.97788984649</c:v>
                      </c:pt>
                      <c:pt idx="7">
                        <c:v>-86473.544960086743</c:v>
                      </c:pt>
                      <c:pt idx="8">
                        <c:v>49880.594632364999</c:v>
                      </c:pt>
                      <c:pt idx="9">
                        <c:v>45254.381481902325</c:v>
                      </c:pt>
                      <c:pt idx="10">
                        <c:v>43651.795583843355</c:v>
                      </c:pt>
                      <c:pt idx="11">
                        <c:v>45076.856728440325</c:v>
                      </c:pt>
                      <c:pt idx="12">
                        <c:v>49533.624898829716</c:v>
                      </c:pt>
                      <c:pt idx="13">
                        <c:v>57026.200672961248</c:v>
                      </c:pt>
                      <c:pt idx="14">
                        <c:v>90598.725629546927</c:v>
                      </c:pt>
                      <c:pt idx="15">
                        <c:v>126255.38275806874</c:v>
                      </c:pt>
                      <c:pt idx="16">
                        <c:v>229000.39687288716</c:v>
                      </c:pt>
                      <c:pt idx="17">
                        <c:v>308951.98925742367</c:v>
                      </c:pt>
                      <c:pt idx="18">
                        <c:v>412553.22784952581</c:v>
                      </c:pt>
                      <c:pt idx="19">
                        <c:v>506589.08635705675</c:v>
                      </c:pt>
                      <c:pt idx="20">
                        <c:v>601063.96111841779</c:v>
                      </c:pt>
                      <c:pt idx="21">
                        <c:v>695982.29243038048</c:v>
                      </c:pt>
                      <c:pt idx="22">
                        <c:v>303272.54900848353</c:v>
                      </c:pt>
                      <c:pt idx="23">
                        <c:v>399091.29234776075</c:v>
                      </c:pt>
                      <c:pt idx="24">
                        <c:v>495367.08129603951</c:v>
                      </c:pt>
                    </c:numCache>
                  </c:numRef>
                </c:val>
                <c:smooth val="0"/>
                <c:extLst xmlns:c15="http://schemas.microsoft.com/office/drawing/2012/chart">
                  <c:ext xmlns:c16="http://schemas.microsoft.com/office/drawing/2014/chart" uri="{C3380CC4-5D6E-409C-BE32-E72D297353CC}">
                    <c16:uniqueId val="{00000003-CF4C-4FD7-B65D-9760A1674003}"/>
                  </c:ext>
                </c:extLst>
              </c15:ser>
            </c15:filteredLineSeries>
            <c15:filteredLineSeries>
              <c15:ser>
                <c:idx val="0"/>
                <c:order val="4"/>
                <c:tx>
                  <c:strRef>
                    <c:extLst xmlns:c15="http://schemas.microsoft.com/office/drawing/2012/chart">
                      <c:ext xmlns:c15="http://schemas.microsoft.com/office/drawing/2012/chart" uri="{02D57815-91ED-43cb-92C2-25804820EDAC}">
                        <c15:formulaRef>
                          <c15:sqref>B1_Berechnungen!$V$33</c15:sqref>
                        </c15:formulaRef>
                      </c:ext>
                    </c:extLst>
                    <c:strCache>
                      <c:ptCount val="1"/>
                      <c:pt idx="0">
                        <c:v>Jahres-gewinn/
-verlust</c:v>
                      </c:pt>
                    </c:strCache>
                  </c:strRef>
                </c:tx>
                <c:marker>
                  <c:symbol val="none"/>
                </c:marker>
                <c:cat>
                  <c:numRef>
                    <c:extLst xmlns:c15="http://schemas.microsoft.com/office/drawing/2012/chart">
                      <c:ext xmlns:c15="http://schemas.microsoft.com/office/drawing/2012/chart" uri="{02D57815-91ED-43cb-92C2-25804820EDAC}">
                        <c15:formulaRef>
                          <c15:sqref>B1_Berechnungen!$B$36:$B$60</c15:sqref>
                        </c15:formulaRef>
                      </c:ext>
                    </c:extLst>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extLst xmlns:c15="http://schemas.microsoft.com/office/drawing/2012/chart">
                      <c:ext xmlns:c15="http://schemas.microsoft.com/office/drawing/2012/chart" uri="{02D57815-91ED-43cb-92C2-25804820EDAC}">
                        <c15:formulaRef>
                          <c15:sqref>B1_Berechnungen!$V$36:$V$60</c15:sqref>
                        </c15:formulaRef>
                      </c:ext>
                    </c:extLst>
                    <c:numCache>
                      <c:formatCode>#,##0</c:formatCode>
                      <c:ptCount val="25"/>
                      <c:pt idx="0">
                        <c:v>-42400</c:v>
                      </c:pt>
                      <c:pt idx="1">
                        <c:v>-40907.333333333336</c:v>
                      </c:pt>
                      <c:pt idx="2">
                        <c:v>122834.89165277779</c:v>
                      </c:pt>
                      <c:pt idx="3">
                        <c:v>512988.5353144551</c:v>
                      </c:pt>
                      <c:pt idx="4">
                        <c:v>80033.28156173593</c:v>
                      </c:pt>
                      <c:pt idx="5">
                        <c:v>37832.019063872605</c:v>
                      </c:pt>
                      <c:pt idx="6">
                        <c:v>39879.96118397871</c:v>
                      </c:pt>
                      <c:pt idx="7">
                        <c:v>41931.766263093072</c:v>
                      </c:pt>
                      <c:pt idx="8">
                        <c:v>39187.472925785085</c:v>
                      </c:pt>
                      <c:pt idx="9">
                        <c:v>42207.120182870654</c:v>
                      </c:pt>
                      <c:pt idx="10">
                        <c:v>45230.747435274359</c:v>
                      </c:pt>
                      <c:pt idx="11">
                        <c:v>48258.394477930298</c:v>
                      </c:pt>
                      <c:pt idx="12">
                        <c:v>51290.101503722719</c:v>
                      </c:pt>
                      <c:pt idx="13">
                        <c:v>54325.90910746486</c:v>
                      </c:pt>
                      <c:pt idx="14">
                        <c:v>56405.858289919008</c:v>
                      </c:pt>
                      <c:pt idx="15">
                        <c:v>58489.990461855137</c:v>
                      </c:pt>
                      <c:pt idx="16">
                        <c:v>58911.680781485076</c:v>
                      </c:pt>
                      <c:pt idx="17">
                        <c:v>59123.012884776486</c:v>
                      </c:pt>
                      <c:pt idx="18">
                        <c:v>59553.279984942143</c:v>
                      </c:pt>
                      <c:pt idx="19">
                        <c:v>49987.899900370976</c:v>
                      </c:pt>
                      <c:pt idx="20">
                        <c:v>50426.916154201084</c:v>
                      </c:pt>
                      <c:pt idx="21">
                        <c:v>50870.372704802721</c:v>
                      </c:pt>
                      <c:pt idx="22">
                        <c:v>46914.513151170569</c:v>
                      </c:pt>
                      <c:pt idx="23">
                        <c:v>47366.983933157899</c:v>
                      </c:pt>
                      <c:pt idx="24">
                        <c:v>47824.029542159464</c:v>
                      </c:pt>
                    </c:numCache>
                  </c:numRef>
                </c:val>
                <c:smooth val="0"/>
                <c:extLst xmlns:c15="http://schemas.microsoft.com/office/drawing/2012/chart">
                  <c:ext xmlns:c16="http://schemas.microsoft.com/office/drawing/2014/chart" uri="{C3380CC4-5D6E-409C-BE32-E72D297353CC}">
                    <c16:uniqueId val="{00000000-4B1D-4BB7-B876-2DD9D5FB3160}"/>
                  </c:ext>
                </c:extLst>
              </c15:ser>
            </c15:filteredLineSeries>
          </c:ext>
        </c:extLst>
      </c:lineChart>
      <c:catAx>
        <c:axId val="363558008"/>
        <c:scaling>
          <c:orientation val="minMax"/>
        </c:scaling>
        <c:delete val="0"/>
        <c:axPos val="b"/>
        <c:numFmt formatCode="0" sourceLinked="1"/>
        <c:majorTickMark val="none"/>
        <c:minorTickMark val="none"/>
        <c:tickLblPos val="low"/>
        <c:spPr>
          <a:ln w="3175">
            <a:solidFill>
              <a:srgbClr val="000000"/>
            </a:solidFill>
            <a:prstDash val="solid"/>
          </a:ln>
        </c:spPr>
        <c:txPr>
          <a:bodyPr rot="-2400000" vert="horz"/>
          <a:lstStyle/>
          <a:p>
            <a:pPr>
              <a:defRPr sz="1000"/>
            </a:pPr>
            <a:endParaRPr lang="de-DE"/>
          </a:p>
        </c:txPr>
        <c:crossAx val="363558792"/>
        <c:crosses val="autoZero"/>
        <c:auto val="1"/>
        <c:lblAlgn val="ctr"/>
        <c:lblOffset val="100"/>
        <c:tickLblSkip val="1"/>
        <c:tickMarkSkip val="1"/>
        <c:noMultiLvlLbl val="0"/>
      </c:catAx>
      <c:valAx>
        <c:axId val="363558792"/>
        <c:scaling>
          <c:orientation val="minMax"/>
        </c:scaling>
        <c:delete val="0"/>
        <c:axPos val="l"/>
        <c:majorGridlines>
          <c:spPr>
            <a:ln w="3175">
              <a:solidFill>
                <a:srgbClr val="000000"/>
              </a:solidFill>
              <a:prstDash val="solid"/>
            </a:ln>
          </c:spPr>
        </c:majorGridlines>
        <c:title>
          <c:tx>
            <c:rich>
              <a:bodyPr/>
              <a:lstStyle/>
              <a:p>
                <a:pPr>
                  <a:defRPr sz="1000"/>
                </a:pPr>
                <a:r>
                  <a:rPr lang="de-DE" sz="1000"/>
                  <a:t>Betrag [CHF]</a:t>
                </a:r>
              </a:p>
            </c:rich>
          </c:tx>
          <c:layout>
            <c:manualLayout>
              <c:xMode val="edge"/>
              <c:yMode val="edge"/>
              <c:x val="1.953125E-2"/>
              <c:y val="0.388334033245843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363558008"/>
        <c:crosses val="autoZero"/>
        <c:crossBetween val="between"/>
      </c:valAx>
      <c:spPr>
        <a:noFill/>
        <a:ln w="12700">
          <a:solidFill>
            <a:schemeClr val="tx1"/>
          </a:solidFill>
          <a:prstDash val="solid"/>
        </a:ln>
      </c:spPr>
    </c:plotArea>
    <c:legend>
      <c:legendPos val="b"/>
      <c:layout>
        <c:manualLayout>
          <c:xMode val="edge"/>
          <c:yMode val="edge"/>
          <c:x val="3.125E-2"/>
          <c:y val="0.94500157480314995"/>
          <c:w val="0.48610404040404048"/>
          <c:h val="5.4998499967390597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56269844203699"/>
          <c:y val="5.4558033802260097E-2"/>
          <c:w val="0.81226221722284719"/>
          <c:h val="0.62609908077610976"/>
        </c:manualLayout>
      </c:layout>
      <c:areaChart>
        <c:grouping val="standard"/>
        <c:varyColors val="0"/>
        <c:ser>
          <c:idx val="1"/>
          <c:order val="0"/>
          <c:tx>
            <c:v>Wärmebedarf inkl. Netzverluste</c:v>
          </c:tx>
          <c:spPr>
            <a:solidFill>
              <a:schemeClr val="accent1">
                <a:lumMod val="40000"/>
                <a:lumOff val="60000"/>
              </a:schemeClr>
            </a:solidFill>
            <a:ln>
              <a:solidFill>
                <a:schemeClr val="accent1"/>
              </a:solidFill>
            </a:ln>
            <a:effectLst/>
          </c:spP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B1_Berechnungen!$C$36:$C$60</c:f>
              <c:numCache>
                <c:formatCode>#,##0</c:formatCode>
                <c:ptCount val="25"/>
                <c:pt idx="0">
                  <c:v>0</c:v>
                </c:pt>
                <c:pt idx="1">
                  <c:v>0</c:v>
                </c:pt>
                <c:pt idx="2">
                  <c:v>138.88888888888889</c:v>
                </c:pt>
                <c:pt idx="3">
                  <c:v>951.5</c:v>
                </c:pt>
                <c:pt idx="4">
                  <c:v>1976.5350000000001</c:v>
                </c:pt>
                <c:pt idx="5">
                  <c:v>2016.0656999999999</c:v>
                </c:pt>
                <c:pt idx="6">
                  <c:v>1995.905043</c:v>
                </c:pt>
                <c:pt idx="7">
                  <c:v>1975.9459925699998</c:v>
                </c:pt>
                <c:pt idx="8">
                  <c:v>1956.1865326442999</c:v>
                </c:pt>
                <c:pt idx="9">
                  <c:v>1936.6246673178568</c:v>
                </c:pt>
                <c:pt idx="10">
                  <c:v>1917.2584206446782</c:v>
                </c:pt>
                <c:pt idx="11">
                  <c:v>1898.0858364382314</c:v>
                </c:pt>
                <c:pt idx="12">
                  <c:v>1879.104978073849</c:v>
                </c:pt>
                <c:pt idx="13">
                  <c:v>1860.3139282931106</c:v>
                </c:pt>
                <c:pt idx="14">
                  <c:v>1841.7107890101795</c:v>
                </c:pt>
                <c:pt idx="15">
                  <c:v>1823.2936811200775</c:v>
                </c:pt>
                <c:pt idx="16">
                  <c:v>1805.0607443088768</c:v>
                </c:pt>
                <c:pt idx="17">
                  <c:v>1787.0101368657879</c:v>
                </c:pt>
                <c:pt idx="18">
                  <c:v>1769.1400354971302</c:v>
                </c:pt>
                <c:pt idx="19">
                  <c:v>1751.4486351421588</c:v>
                </c:pt>
                <c:pt idx="20">
                  <c:v>1733.9341487907373</c:v>
                </c:pt>
                <c:pt idx="21">
                  <c:v>1716.5948073028296</c:v>
                </c:pt>
                <c:pt idx="22">
                  <c:v>1699.4288592298014</c:v>
                </c:pt>
                <c:pt idx="23">
                  <c:v>1682.4345706375034</c:v>
                </c:pt>
                <c:pt idx="24">
                  <c:v>1665.6102249311282</c:v>
                </c:pt>
              </c:numCache>
            </c:numRef>
          </c:val>
          <c:extLst>
            <c:ext xmlns:c16="http://schemas.microsoft.com/office/drawing/2014/chart" uri="{C3380CC4-5D6E-409C-BE32-E72D297353CC}">
              <c16:uniqueId val="{00000000-BF58-4DD5-B6E9-AE1EE2818305}"/>
            </c:ext>
          </c:extLst>
        </c:ser>
        <c:dLbls>
          <c:showLegendKey val="0"/>
          <c:showVal val="0"/>
          <c:showCatName val="0"/>
          <c:showSerName val="0"/>
          <c:showPercent val="0"/>
          <c:showBubbleSize val="0"/>
        </c:dLbls>
        <c:axId val="363559968"/>
        <c:axId val="363560752"/>
      </c:areaChart>
      <c:catAx>
        <c:axId val="363559968"/>
        <c:scaling>
          <c:orientation val="minMax"/>
        </c:scaling>
        <c:delete val="0"/>
        <c:axPos val="b"/>
        <c:numFmt formatCode="0" sourceLinked="1"/>
        <c:majorTickMark val="out"/>
        <c:minorTickMark val="none"/>
        <c:tickLblPos val="nextTo"/>
        <c:spPr>
          <a:noFill/>
          <a:ln w="9525" cap="flat" cmpd="sng" algn="ctr">
            <a:solidFill>
              <a:schemeClr val="tx1"/>
            </a:solidFill>
            <a:round/>
          </a:ln>
          <a:effectLst/>
        </c:spPr>
        <c:txPr>
          <a:bodyPr rot="-27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de-DE"/>
          </a:p>
        </c:txPr>
        <c:crossAx val="363560752"/>
        <c:crosses val="autoZero"/>
        <c:auto val="1"/>
        <c:lblAlgn val="ctr"/>
        <c:lblOffset val="100"/>
        <c:tickLblSkip val="1"/>
        <c:noMultiLvlLbl val="0"/>
      </c:catAx>
      <c:valAx>
        <c:axId val="363560752"/>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de-CH"/>
                  <a:t>Wärmebedarf [MWh/a]</a:t>
                </a:r>
              </a:p>
            </c:rich>
          </c:tx>
          <c:layout>
            <c:manualLayout>
              <c:xMode val="edge"/>
              <c:yMode val="edge"/>
              <c:x val="2.6389952622042499E-2"/>
              <c:y val="0.1465761758859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crossAx val="363559968"/>
        <c:crosses val="autoZero"/>
        <c:crossBetween val="midCat"/>
      </c:valAx>
      <c:spPr>
        <a:noFill/>
        <a:ln>
          <a:solidFill>
            <a:sysClr val="windowText" lastClr="000000"/>
          </a:solidFill>
        </a:ln>
        <a:effectLst/>
      </c:spPr>
    </c:plotArea>
    <c:legend>
      <c:legendPos val="b"/>
      <c:layout>
        <c:manualLayout>
          <c:xMode val="edge"/>
          <c:yMode val="edge"/>
          <c:x val="0.29474635342713301"/>
          <c:y val="0.88238263104141301"/>
          <c:w val="0.41050710191280698"/>
          <c:h val="0.10088096728494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legend>
    <c:plotVisOnly val="1"/>
    <c:dispBlanksAs val="zero"/>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9812721392159"/>
          <c:y val="6.3769425048284062E-2"/>
          <c:w val="0.83438843655335382"/>
          <c:h val="0.73831074394389229"/>
        </c:manualLayout>
      </c:layout>
      <c:barChart>
        <c:barDir val="col"/>
        <c:grouping val="clustered"/>
        <c:varyColors val="0"/>
        <c:ser>
          <c:idx val="1"/>
          <c:order val="0"/>
          <c:tx>
            <c:strRef>
              <c:f>B1_Berechnungen!$E$31</c:f>
              <c:strCache>
                <c:ptCount val="1"/>
                <c:pt idx="0">
                  <c:v>Aufwand</c:v>
                </c:pt>
              </c:strCache>
            </c:strRef>
          </c:tx>
          <c:spPr>
            <a:solidFill>
              <a:schemeClr val="accent1"/>
            </a:solidFill>
            <a:ln w="12700">
              <a:solidFill>
                <a:schemeClr val="accent1"/>
              </a:solidFill>
              <a:prstDash val="solid"/>
            </a:ln>
          </c:spPr>
          <c:invertIfNegative val="0"/>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B1_Berechnungen!$O$36:$O$60</c:f>
              <c:numCache>
                <c:formatCode>#,##0</c:formatCode>
                <c:ptCount val="25"/>
                <c:pt idx="0">
                  <c:v>42400</c:v>
                </c:pt>
                <c:pt idx="1">
                  <c:v>40907.333333333336</c:v>
                </c:pt>
                <c:pt idx="2">
                  <c:v>135165.74597222221</c:v>
                </c:pt>
                <c:pt idx="3">
                  <c:v>188406.64088045835</c:v>
                </c:pt>
                <c:pt idx="4">
                  <c:v>257051.65294678809</c:v>
                </c:pt>
                <c:pt idx="5">
                  <c:v>260024.0149463625</c:v>
                </c:pt>
                <c:pt idx="6">
                  <c:v>258966.87732750765</c:v>
                </c:pt>
                <c:pt idx="7">
                  <c:v>257915.97357024092</c:v>
                </c:pt>
                <c:pt idx="8">
                  <c:v>261671.36599932137</c:v>
                </c:pt>
                <c:pt idx="9">
                  <c:v>259673.11756275664</c:v>
                </c:pt>
                <c:pt idx="10">
                  <c:v>257681.29183803586</c:v>
                </c:pt>
                <c:pt idx="11">
                  <c:v>255695.95303842457</c:v>
                </c:pt>
                <c:pt idx="12">
                  <c:v>253717.16601932229</c:v>
                </c:pt>
                <c:pt idx="13">
                  <c:v>251744.99628468402</c:v>
                </c:pt>
                <c:pt idx="14">
                  <c:v>250739.50999350546</c:v>
                </c:pt>
                <c:pt idx="15">
                  <c:v>249740.77396637382</c:v>
                </c:pt>
                <c:pt idx="16">
                  <c:v>250415.52235875031</c:v>
                </c:pt>
                <c:pt idx="17">
                  <c:v>251311.78194147858</c:v>
                </c:pt>
                <c:pt idx="18">
                  <c:v>252000.37101222735</c:v>
                </c:pt>
                <c:pt idx="19">
                  <c:v>252695.98437859979</c:v>
                </c:pt>
                <c:pt idx="20">
                  <c:v>253398.69226971181</c:v>
                </c:pt>
                <c:pt idx="21">
                  <c:v>254108.56561697152</c:v>
                </c:pt>
                <c:pt idx="22">
                  <c:v>259229.47686006228</c:v>
                </c:pt>
                <c:pt idx="23">
                  <c:v>259953.89675819743</c:v>
                </c:pt>
                <c:pt idx="24">
                  <c:v>260685.6991910417</c:v>
                </c:pt>
              </c:numCache>
            </c:numRef>
          </c:val>
          <c:extLst>
            <c:ext xmlns:c16="http://schemas.microsoft.com/office/drawing/2014/chart" uri="{C3380CC4-5D6E-409C-BE32-E72D297353CC}">
              <c16:uniqueId val="{00000000-53BE-433E-829B-32533F4DBF6D}"/>
            </c:ext>
          </c:extLst>
        </c:ser>
        <c:ser>
          <c:idx val="2"/>
          <c:order val="1"/>
          <c:tx>
            <c:strRef>
              <c:f>B1_Berechnungen!$P$31</c:f>
              <c:strCache>
                <c:ptCount val="1"/>
                <c:pt idx="0">
                  <c:v>Ertrag</c:v>
                </c:pt>
              </c:strCache>
            </c:strRef>
          </c:tx>
          <c:spPr>
            <a:solidFill>
              <a:schemeClr val="accent6">
                <a:lumMod val="60000"/>
                <a:lumOff val="40000"/>
              </a:schemeClr>
            </a:solidFill>
            <a:ln w="12700">
              <a:solidFill>
                <a:schemeClr val="accent6"/>
              </a:solidFill>
              <a:prstDash val="solid"/>
            </a:ln>
          </c:spPr>
          <c:invertIfNegative val="0"/>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B1_Berechnungen!$U$36:$U$60</c:f>
              <c:numCache>
                <c:formatCode>#,##0</c:formatCode>
                <c:ptCount val="25"/>
                <c:pt idx="0">
                  <c:v>0</c:v>
                </c:pt>
                <c:pt idx="1">
                  <c:v>0</c:v>
                </c:pt>
                <c:pt idx="2">
                  <c:v>258000.637625</c:v>
                </c:pt>
                <c:pt idx="3">
                  <c:v>701395.17619491345</c:v>
                </c:pt>
                <c:pt idx="4">
                  <c:v>337084.93450852402</c:v>
                </c:pt>
                <c:pt idx="5">
                  <c:v>297856.0340102351</c:v>
                </c:pt>
                <c:pt idx="6">
                  <c:v>298846.83851148636</c:v>
                </c:pt>
                <c:pt idx="7">
                  <c:v>299847.739833334</c:v>
                </c:pt>
                <c:pt idx="8">
                  <c:v>300858.83892510645</c:v>
                </c:pt>
                <c:pt idx="9">
                  <c:v>301880.2377456273</c:v>
                </c:pt>
                <c:pt idx="10">
                  <c:v>302912.03927331022</c:v>
                </c:pt>
                <c:pt idx="11">
                  <c:v>303954.34751635487</c:v>
                </c:pt>
                <c:pt idx="12">
                  <c:v>305007.26752304501</c:v>
                </c:pt>
                <c:pt idx="13">
                  <c:v>306070.90539214888</c:v>
                </c:pt>
                <c:pt idx="14">
                  <c:v>307145.36828342447</c:v>
                </c:pt>
                <c:pt idx="15">
                  <c:v>308230.76442822895</c:v>
                </c:pt>
                <c:pt idx="16">
                  <c:v>309327.20314023539</c:v>
                </c:pt>
                <c:pt idx="17">
                  <c:v>310434.79482625506</c:v>
                </c:pt>
                <c:pt idx="18">
                  <c:v>311553.65099716949</c:v>
                </c:pt>
                <c:pt idx="19">
                  <c:v>302683.88427897077</c:v>
                </c:pt>
                <c:pt idx="20">
                  <c:v>303825.6084239129</c:v>
                </c:pt>
                <c:pt idx="21">
                  <c:v>304978.93832177424</c:v>
                </c:pt>
                <c:pt idx="22">
                  <c:v>306143.99001123285</c:v>
                </c:pt>
                <c:pt idx="23">
                  <c:v>307320.88069135533</c:v>
                </c:pt>
                <c:pt idx="24">
                  <c:v>308509.72873320116</c:v>
                </c:pt>
              </c:numCache>
            </c:numRef>
          </c:val>
          <c:extLst>
            <c:ext xmlns:c16="http://schemas.microsoft.com/office/drawing/2014/chart" uri="{C3380CC4-5D6E-409C-BE32-E72D297353CC}">
              <c16:uniqueId val="{00000001-53BE-433E-829B-32533F4DBF6D}"/>
            </c:ext>
          </c:extLst>
        </c:ser>
        <c:dLbls>
          <c:showLegendKey val="0"/>
          <c:showVal val="0"/>
          <c:showCatName val="0"/>
          <c:showSerName val="0"/>
          <c:showPercent val="0"/>
          <c:showBubbleSize val="0"/>
        </c:dLbls>
        <c:gapWidth val="150"/>
        <c:axId val="363560360"/>
        <c:axId val="878606712"/>
      </c:barChart>
      <c:lineChart>
        <c:grouping val="standard"/>
        <c:varyColors val="0"/>
        <c:ser>
          <c:idx val="0"/>
          <c:order val="2"/>
          <c:tx>
            <c:strRef>
              <c:f>B1_Berechnungen!$W$33</c:f>
              <c:strCache>
                <c:ptCount val="1"/>
                <c:pt idx="0">
                  <c:v>Kumulierter Gewinn / Verlust</c:v>
                </c:pt>
              </c:strCache>
            </c:strRef>
          </c:tx>
          <c:spPr>
            <a:ln w="19050">
              <a:solidFill>
                <a:schemeClr val="accent2"/>
              </a:solidFill>
            </a:ln>
          </c:spPr>
          <c:marker>
            <c:symbol val="none"/>
          </c:marke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B1_Berechnungen!$W$36:$W$60</c:f>
              <c:numCache>
                <c:formatCode>#,##0</c:formatCode>
                <c:ptCount val="25"/>
                <c:pt idx="0">
                  <c:v>-42400</c:v>
                </c:pt>
                <c:pt idx="1">
                  <c:v>-83307.333333333343</c:v>
                </c:pt>
                <c:pt idx="2">
                  <c:v>39527.558319444448</c:v>
                </c:pt>
                <c:pt idx="3">
                  <c:v>552516.09363389958</c:v>
                </c:pt>
                <c:pt idx="4">
                  <c:v>632549.37519563548</c:v>
                </c:pt>
                <c:pt idx="5">
                  <c:v>670381.39425950812</c:v>
                </c:pt>
                <c:pt idx="6">
                  <c:v>710261.35544348683</c:v>
                </c:pt>
                <c:pt idx="7">
                  <c:v>752193.12170657993</c:v>
                </c:pt>
                <c:pt idx="8">
                  <c:v>791380.59463236504</c:v>
                </c:pt>
                <c:pt idx="9">
                  <c:v>833587.7148152357</c:v>
                </c:pt>
                <c:pt idx="10">
                  <c:v>878818.46225051</c:v>
                </c:pt>
                <c:pt idx="11">
                  <c:v>927076.85672844027</c:v>
                </c:pt>
                <c:pt idx="12">
                  <c:v>978366.95823216299</c:v>
                </c:pt>
                <c:pt idx="13">
                  <c:v>1032692.8673396278</c:v>
                </c:pt>
                <c:pt idx="14">
                  <c:v>1089098.7256295469</c:v>
                </c:pt>
                <c:pt idx="15">
                  <c:v>1147588.7160914021</c:v>
                </c:pt>
                <c:pt idx="16">
                  <c:v>1206500.3968728872</c:v>
                </c:pt>
                <c:pt idx="17">
                  <c:v>1265623.4097576637</c:v>
                </c:pt>
                <c:pt idx="18">
                  <c:v>1325176.6897426059</c:v>
                </c:pt>
                <c:pt idx="19">
                  <c:v>1375164.5896429769</c:v>
                </c:pt>
                <c:pt idx="20">
                  <c:v>1425591.505797178</c:v>
                </c:pt>
                <c:pt idx="21">
                  <c:v>1476461.8785019808</c:v>
                </c:pt>
                <c:pt idx="22">
                  <c:v>1523376.3916531513</c:v>
                </c:pt>
                <c:pt idx="23">
                  <c:v>1570743.3755863092</c:v>
                </c:pt>
                <c:pt idx="24">
                  <c:v>1618567.4051284688</c:v>
                </c:pt>
              </c:numCache>
            </c:numRef>
          </c:val>
          <c:smooth val="0"/>
          <c:extLst>
            <c:ext xmlns:c16="http://schemas.microsoft.com/office/drawing/2014/chart" uri="{C3380CC4-5D6E-409C-BE32-E72D297353CC}">
              <c16:uniqueId val="{00000000-02BB-40AC-AABA-A3EC3CBE052F}"/>
            </c:ext>
          </c:extLst>
        </c:ser>
        <c:dLbls>
          <c:showLegendKey val="0"/>
          <c:showVal val="0"/>
          <c:showCatName val="0"/>
          <c:showSerName val="0"/>
          <c:showPercent val="0"/>
          <c:showBubbleSize val="0"/>
        </c:dLbls>
        <c:marker val="1"/>
        <c:smooth val="0"/>
        <c:axId val="363560360"/>
        <c:axId val="878606712"/>
        <c:extLst/>
      </c:lineChart>
      <c:catAx>
        <c:axId val="363560360"/>
        <c:scaling>
          <c:orientation val="minMax"/>
        </c:scaling>
        <c:delete val="0"/>
        <c:axPos val="b"/>
        <c:numFmt formatCode="0" sourceLinked="1"/>
        <c:majorTickMark val="none"/>
        <c:minorTickMark val="none"/>
        <c:tickLblPos val="low"/>
        <c:spPr>
          <a:ln w="3175">
            <a:solidFill>
              <a:srgbClr val="000000"/>
            </a:solidFill>
            <a:prstDash val="solid"/>
          </a:ln>
        </c:spPr>
        <c:txPr>
          <a:bodyPr rot="-2400000" vert="horz"/>
          <a:lstStyle/>
          <a:p>
            <a:pPr>
              <a:defRPr sz="1000"/>
            </a:pPr>
            <a:endParaRPr lang="de-DE"/>
          </a:p>
        </c:txPr>
        <c:crossAx val="878606712"/>
        <c:crosses val="autoZero"/>
        <c:auto val="1"/>
        <c:lblAlgn val="ctr"/>
        <c:lblOffset val="100"/>
        <c:tickLblSkip val="1"/>
        <c:tickMarkSkip val="1"/>
        <c:noMultiLvlLbl val="0"/>
      </c:catAx>
      <c:valAx>
        <c:axId val="878606712"/>
        <c:scaling>
          <c:orientation val="minMax"/>
        </c:scaling>
        <c:delete val="0"/>
        <c:axPos val="l"/>
        <c:majorGridlines>
          <c:spPr>
            <a:ln w="3175">
              <a:solidFill>
                <a:srgbClr val="000000"/>
              </a:solidFill>
              <a:prstDash val="solid"/>
            </a:ln>
          </c:spPr>
        </c:majorGridlines>
        <c:title>
          <c:tx>
            <c:rich>
              <a:bodyPr/>
              <a:lstStyle/>
              <a:p>
                <a:pPr>
                  <a:defRPr sz="1000"/>
                </a:pPr>
                <a:r>
                  <a:rPr lang="de-DE" sz="1000"/>
                  <a:t>Betrag [CHF]</a:t>
                </a:r>
              </a:p>
            </c:rich>
          </c:tx>
          <c:layout>
            <c:manualLayout>
              <c:xMode val="edge"/>
              <c:yMode val="edge"/>
              <c:x val="8.1353149587787485E-3"/>
              <c:y val="0.3489898025041951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363560360"/>
        <c:crosses val="autoZero"/>
        <c:crossBetween val="between"/>
      </c:valAx>
      <c:spPr>
        <a:noFill/>
        <a:ln w="12700">
          <a:solidFill>
            <a:schemeClr val="tx1"/>
          </a:solidFill>
          <a:prstDash val="solid"/>
        </a:ln>
      </c:spPr>
    </c:plotArea>
    <c:legend>
      <c:legendPos val="b"/>
      <c:layout>
        <c:manualLayout>
          <c:xMode val="edge"/>
          <c:yMode val="edge"/>
          <c:x val="3.125E-2"/>
          <c:y val="0.94500157480314995"/>
          <c:w val="0.69568592558112308"/>
          <c:h val="5.4998522535676421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no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787689808324"/>
          <c:y val="3.2291646889812869E-2"/>
          <c:w val="0.80839458295666455"/>
          <c:h val="0.63794449851071988"/>
        </c:manualLayout>
      </c:layout>
      <c:areaChart>
        <c:grouping val="standard"/>
        <c:varyColors val="0"/>
        <c:ser>
          <c:idx val="0"/>
          <c:order val="0"/>
          <c:tx>
            <c:strRef>
              <c:f>B1_Berechnungen!$AE$33</c:f>
              <c:strCache>
                <c:ptCount val="1"/>
                <c:pt idx="0">
                  <c:v>Kreditstand</c:v>
                </c:pt>
              </c:strCache>
            </c:strRef>
          </c:tx>
          <c:spPr>
            <a:solidFill>
              <a:schemeClr val="accent1">
                <a:lumMod val="60000"/>
                <a:lumOff val="40000"/>
              </a:schemeClr>
            </a:solidFill>
            <a:ln w="12700">
              <a:solidFill>
                <a:schemeClr val="accent1"/>
              </a:solidFill>
              <a:prstDash val="solid"/>
            </a:ln>
          </c:spP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B1_Berechnungen!$AE$36:$AE$60</c:f>
              <c:numCache>
                <c:formatCode>#,##0</c:formatCode>
                <c:ptCount val="25"/>
                <c:pt idx="0">
                  <c:v>-1000000</c:v>
                </c:pt>
                <c:pt idx="1">
                  <c:v>-933333.33333333337</c:v>
                </c:pt>
                <c:pt idx="2">
                  <c:v>-866666.66666666663</c:v>
                </c:pt>
                <c:pt idx="3">
                  <c:v>-800000</c:v>
                </c:pt>
                <c:pt idx="4">
                  <c:v>-733333.33333333326</c:v>
                </c:pt>
                <c:pt idx="5">
                  <c:v>-666666.66666666663</c:v>
                </c:pt>
                <c:pt idx="6">
                  <c:v>-600000</c:v>
                </c:pt>
                <c:pt idx="7">
                  <c:v>-533333.33333333326</c:v>
                </c:pt>
                <c:pt idx="8">
                  <c:v>-586666.66666666663</c:v>
                </c:pt>
                <c:pt idx="9">
                  <c:v>-496000</c:v>
                </c:pt>
                <c:pt idx="10">
                  <c:v>-405333.33333333326</c:v>
                </c:pt>
                <c:pt idx="11">
                  <c:v>-314666.66666666663</c:v>
                </c:pt>
                <c:pt idx="12">
                  <c:v>-224000</c:v>
                </c:pt>
                <c:pt idx="13">
                  <c:v>-133333.33333333326</c:v>
                </c:pt>
                <c:pt idx="14">
                  <c:v>-66666.666666666628</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9DD1-4CC9-A52B-7F4ED61E9DD0}"/>
            </c:ext>
          </c:extLst>
        </c:ser>
        <c:ser>
          <c:idx val="5"/>
          <c:order val="1"/>
          <c:tx>
            <c:strRef>
              <c:f>B1_Berechnungen!$AF$33</c:f>
              <c:strCache>
                <c:ptCount val="1"/>
                <c:pt idx="0">
                  <c:v>Restwert der Anlagen</c:v>
                </c:pt>
              </c:strCache>
            </c:strRef>
          </c:tx>
          <c:spPr>
            <a:solidFill>
              <a:schemeClr val="accent6">
                <a:lumMod val="60000"/>
                <a:lumOff val="40000"/>
              </a:schemeClr>
            </a:solidFill>
            <a:ln w="12700">
              <a:solidFill>
                <a:schemeClr val="accent6"/>
              </a:solidFill>
            </a:ln>
          </c:spP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B1_Berechnungen!$AF$36:$AF$60</c:f>
              <c:numCache>
                <c:formatCode>#,##0</c:formatCode>
                <c:ptCount val="25"/>
                <c:pt idx="0">
                  <c:v>284000</c:v>
                </c:pt>
                <c:pt idx="1">
                  <c:v>710000</c:v>
                </c:pt>
                <c:pt idx="2">
                  <c:v>1376166.6666666667</c:v>
                </c:pt>
                <c:pt idx="3">
                  <c:v>1332333.3333333335</c:v>
                </c:pt>
                <c:pt idx="4">
                  <c:v>1288500.0000000002</c:v>
                </c:pt>
                <c:pt idx="5">
                  <c:v>1244666.666666667</c:v>
                </c:pt>
                <c:pt idx="6">
                  <c:v>1200833.3333333337</c:v>
                </c:pt>
                <c:pt idx="7">
                  <c:v>1157000.0000000005</c:v>
                </c:pt>
                <c:pt idx="8">
                  <c:v>1113166.6666666672</c:v>
                </c:pt>
                <c:pt idx="9">
                  <c:v>1069333.333333334</c:v>
                </c:pt>
                <c:pt idx="10">
                  <c:v>1025500.0000000006</c:v>
                </c:pt>
                <c:pt idx="11">
                  <c:v>981666.66666666721</c:v>
                </c:pt>
                <c:pt idx="12">
                  <c:v>937833.33333333384</c:v>
                </c:pt>
                <c:pt idx="13">
                  <c:v>894000.00000000047</c:v>
                </c:pt>
                <c:pt idx="14">
                  <c:v>850166.66666666709</c:v>
                </c:pt>
                <c:pt idx="15">
                  <c:v>806333.33333333372</c:v>
                </c:pt>
                <c:pt idx="16">
                  <c:v>762500.00000000035</c:v>
                </c:pt>
                <c:pt idx="17">
                  <c:v>741671.42050024029</c:v>
                </c:pt>
                <c:pt idx="18">
                  <c:v>697623.46189308027</c:v>
                </c:pt>
                <c:pt idx="19">
                  <c:v>653575.50328592025</c:v>
                </c:pt>
                <c:pt idx="20">
                  <c:v>609527.54467876023</c:v>
                </c:pt>
                <c:pt idx="21">
                  <c:v>565479.58607160021</c:v>
                </c:pt>
                <c:pt idx="22">
                  <c:v>1005103.8426446677</c:v>
                </c:pt>
                <c:pt idx="23">
                  <c:v>956652.08323854837</c:v>
                </c:pt>
                <c:pt idx="24">
                  <c:v>908200.32383242901</c:v>
                </c:pt>
              </c:numCache>
            </c:numRef>
          </c:val>
          <c:extLst>
            <c:ext xmlns:c16="http://schemas.microsoft.com/office/drawing/2014/chart" uri="{C3380CC4-5D6E-409C-BE32-E72D297353CC}">
              <c16:uniqueId val="{00000001-9DD1-4CC9-A52B-7F4ED61E9DD0}"/>
            </c:ext>
          </c:extLst>
        </c:ser>
        <c:dLbls>
          <c:showLegendKey val="0"/>
          <c:showVal val="0"/>
          <c:showCatName val="0"/>
          <c:showSerName val="0"/>
          <c:showPercent val="0"/>
          <c:showBubbleSize val="0"/>
        </c:dLbls>
        <c:axId val="878607104"/>
        <c:axId val="878604360"/>
      </c:areaChart>
      <c:lineChart>
        <c:grouping val="standard"/>
        <c:varyColors val="0"/>
        <c:ser>
          <c:idx val="1"/>
          <c:order val="2"/>
          <c:tx>
            <c:strRef>
              <c:f>B1_Berechnungen!$AB$33</c:f>
              <c:strCache>
                <c:ptCount val="1"/>
                <c:pt idx="0">
                  <c:v>Kumulierter Cashflow</c:v>
                </c:pt>
              </c:strCache>
            </c:strRef>
          </c:tx>
          <c:spPr>
            <a:ln w="19050">
              <a:solidFill>
                <a:schemeClr val="accent2"/>
              </a:solidFill>
            </a:ln>
          </c:spPr>
          <c:marker>
            <c:symbol val="none"/>
          </c:marker>
          <c:cat>
            <c:numRef>
              <c:f>B1_Berechnungen!$B$36:$B$60</c:f>
              <c:numCache>
                <c:formatCode>0</c:formatCode>
                <c:ptCount val="2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numCache>
            </c:numRef>
          </c:cat>
          <c:val>
            <c:numRef>
              <c:f>B1_Berechnungen!$AB$36:$AB$60</c:f>
              <c:numCache>
                <c:formatCode>#,##0</c:formatCode>
                <c:ptCount val="25"/>
                <c:pt idx="0">
                  <c:v>630600</c:v>
                </c:pt>
                <c:pt idx="1">
                  <c:v>32526</c:v>
                </c:pt>
                <c:pt idx="2">
                  <c:v>-684972.44168055546</c:v>
                </c:pt>
                <c:pt idx="3">
                  <c:v>-194817.23969943373</c:v>
                </c:pt>
                <c:pt idx="4">
                  <c:v>-137617.29147103115</c:v>
                </c:pt>
                <c:pt idx="5">
                  <c:v>-122618.60574049187</c:v>
                </c:pt>
                <c:pt idx="6">
                  <c:v>-105571.97788984649</c:v>
                </c:pt>
                <c:pt idx="7">
                  <c:v>-86473.544960086743</c:v>
                </c:pt>
                <c:pt idx="8">
                  <c:v>49880.594632364999</c:v>
                </c:pt>
                <c:pt idx="9">
                  <c:v>45254.381481902325</c:v>
                </c:pt>
                <c:pt idx="10">
                  <c:v>43651.795583843355</c:v>
                </c:pt>
                <c:pt idx="11">
                  <c:v>45076.856728440325</c:v>
                </c:pt>
                <c:pt idx="12">
                  <c:v>49533.624898829716</c:v>
                </c:pt>
                <c:pt idx="13">
                  <c:v>57026.200672961248</c:v>
                </c:pt>
                <c:pt idx="14">
                  <c:v>90598.725629546927</c:v>
                </c:pt>
                <c:pt idx="15">
                  <c:v>126255.38275806874</c:v>
                </c:pt>
                <c:pt idx="16">
                  <c:v>229000.39687288716</c:v>
                </c:pt>
                <c:pt idx="17">
                  <c:v>308951.98925742367</c:v>
                </c:pt>
                <c:pt idx="18">
                  <c:v>412553.22784952581</c:v>
                </c:pt>
                <c:pt idx="19">
                  <c:v>506589.08635705675</c:v>
                </c:pt>
                <c:pt idx="20">
                  <c:v>601063.96111841779</c:v>
                </c:pt>
                <c:pt idx="21">
                  <c:v>695982.29243038048</c:v>
                </c:pt>
                <c:pt idx="22">
                  <c:v>303272.54900848353</c:v>
                </c:pt>
                <c:pt idx="23">
                  <c:v>399091.29234776075</c:v>
                </c:pt>
                <c:pt idx="24">
                  <c:v>495367.08129603951</c:v>
                </c:pt>
              </c:numCache>
            </c:numRef>
          </c:val>
          <c:smooth val="0"/>
          <c:extLst>
            <c:ext xmlns:c16="http://schemas.microsoft.com/office/drawing/2014/chart" uri="{C3380CC4-5D6E-409C-BE32-E72D297353CC}">
              <c16:uniqueId val="{00000000-F3CD-4DD1-956D-622EFF313AAF}"/>
            </c:ext>
          </c:extLst>
        </c:ser>
        <c:dLbls>
          <c:showLegendKey val="0"/>
          <c:showVal val="0"/>
          <c:showCatName val="0"/>
          <c:showSerName val="0"/>
          <c:showPercent val="0"/>
          <c:showBubbleSize val="0"/>
        </c:dLbls>
        <c:marker val="1"/>
        <c:smooth val="0"/>
        <c:axId val="878607104"/>
        <c:axId val="878604360"/>
      </c:lineChart>
      <c:catAx>
        <c:axId val="878607104"/>
        <c:scaling>
          <c:orientation val="minMax"/>
        </c:scaling>
        <c:delete val="0"/>
        <c:axPos val="b"/>
        <c:numFmt formatCode="0" sourceLinked="1"/>
        <c:majorTickMark val="none"/>
        <c:minorTickMark val="none"/>
        <c:tickLblPos val="low"/>
        <c:spPr>
          <a:ln w="3175">
            <a:solidFill>
              <a:srgbClr val="000000"/>
            </a:solidFill>
            <a:prstDash val="solid"/>
          </a:ln>
        </c:spPr>
        <c:txPr>
          <a:bodyPr rot="-2700000" vert="horz"/>
          <a:lstStyle/>
          <a:p>
            <a:pPr>
              <a:defRPr sz="1000"/>
            </a:pPr>
            <a:endParaRPr lang="de-DE"/>
          </a:p>
        </c:txPr>
        <c:crossAx val="878604360"/>
        <c:crosses val="autoZero"/>
        <c:auto val="1"/>
        <c:lblAlgn val="ctr"/>
        <c:lblOffset val="100"/>
        <c:tickLblSkip val="1"/>
        <c:noMultiLvlLbl val="0"/>
      </c:catAx>
      <c:valAx>
        <c:axId val="878604360"/>
        <c:scaling>
          <c:orientation val="minMax"/>
        </c:scaling>
        <c:delete val="0"/>
        <c:axPos val="l"/>
        <c:majorGridlines>
          <c:spPr>
            <a:ln w="3175">
              <a:solidFill>
                <a:srgbClr val="000000"/>
              </a:solidFill>
              <a:prstDash val="solid"/>
            </a:ln>
          </c:spPr>
        </c:majorGridlines>
        <c:title>
          <c:tx>
            <c:rich>
              <a:bodyPr/>
              <a:lstStyle/>
              <a:p>
                <a:pPr>
                  <a:defRPr sz="1000"/>
                </a:pPr>
                <a:r>
                  <a:rPr lang="de-DE" sz="1000"/>
                  <a:t>Betrag [CHF]</a:t>
                </a:r>
              </a:p>
            </c:rich>
          </c:tx>
          <c:layout>
            <c:manualLayout>
              <c:xMode val="edge"/>
              <c:yMode val="edge"/>
              <c:x val="1.2875653438494897E-2"/>
              <c:y val="0.246011973222448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de-DE"/>
          </a:p>
        </c:txPr>
        <c:crossAx val="878607104"/>
        <c:crosses val="autoZero"/>
        <c:crossBetween val="between"/>
      </c:valAx>
      <c:spPr>
        <a:noFill/>
        <a:ln w="12700">
          <a:solidFill>
            <a:schemeClr val="tx1"/>
          </a:solidFill>
          <a:prstDash val="solid"/>
        </a:ln>
      </c:spPr>
    </c:plotArea>
    <c:legend>
      <c:legendPos val="b"/>
      <c:layout>
        <c:manualLayout>
          <c:xMode val="edge"/>
          <c:yMode val="edge"/>
          <c:x val="3.1249929033413257E-2"/>
          <c:y val="0.90005780176354355"/>
          <c:w val="0.78510793471947449"/>
          <c:h val="9.9942145529681128E-2"/>
        </c:manualLayout>
      </c:layout>
      <c:overlay val="0"/>
      <c:spPr>
        <a:solidFill>
          <a:srgbClr val="FFFFFF"/>
        </a:solidFill>
        <a:ln w="3175">
          <a:noFill/>
          <a:prstDash val="solid"/>
        </a:ln>
      </c:spPr>
      <c:txPr>
        <a:bodyPr/>
        <a:lstStyle/>
        <a:p>
          <a:pPr>
            <a:defRPr sz="1000"/>
          </a:pPr>
          <a:endParaRPr lang="de-DE"/>
        </a:p>
      </c:txPr>
    </c:legend>
    <c:plotVisOnly val="1"/>
    <c:dispBlanksAs val="gap"/>
    <c:showDLblsOverMax val="0"/>
  </c:chart>
  <c:spPr>
    <a:solidFill>
      <a:srgbClr val="FFFFFF"/>
    </a:solidFill>
    <a:ln w="3175">
      <a:noFill/>
      <a:prstDash val="solid"/>
    </a:ln>
  </c:spPr>
  <c:txPr>
    <a:bodyPr/>
    <a:lstStyle/>
    <a:p>
      <a:pPr>
        <a:defRPr sz="1475" b="0" i="0" u="none" strike="noStrike" baseline="0">
          <a:solidFill>
            <a:srgbClr val="000000"/>
          </a:solidFill>
          <a:latin typeface="+mn-lt"/>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38</xdr:col>
      <xdr:colOff>47625</xdr:colOff>
      <xdr:row>6</xdr:row>
      <xdr:rowOff>40480</xdr:rowOff>
    </xdr:from>
    <xdr:to>
      <xdr:col>103</xdr:col>
      <xdr:colOff>23813</xdr:colOff>
      <xdr:row>28</xdr:row>
      <xdr:rowOff>130969</xdr:rowOff>
    </xdr:to>
    <xdr:graphicFrame macro="">
      <xdr:nvGraphicFramePr>
        <xdr:cNvPr id="3" name="Diagramm 24">
          <a:extLst>
            <a:ext uri="{FF2B5EF4-FFF2-40B4-BE49-F238E27FC236}">
              <a16:creationId xmlns:a16="http://schemas.microsoft.com/office/drawing/2014/main" id="{3F9F7BAA-DB88-4C79-9073-FE988C0D3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783433</xdr:colOff>
      <xdr:row>6</xdr:row>
      <xdr:rowOff>45243</xdr:rowOff>
    </xdr:from>
    <xdr:to>
      <xdr:col>32</xdr:col>
      <xdr:colOff>285714</xdr:colOff>
      <xdr:row>29</xdr:row>
      <xdr:rowOff>44680</xdr:rowOff>
    </xdr:to>
    <xdr:graphicFrame macro="">
      <xdr:nvGraphicFramePr>
        <xdr:cNvPr id="4" name="Diagramm 24">
          <a:extLst>
            <a:ext uri="{FF2B5EF4-FFF2-40B4-BE49-F238E27FC236}">
              <a16:creationId xmlns:a16="http://schemas.microsoft.com/office/drawing/2014/main" id="{E8AE3B2A-351E-406A-A34A-B7745D530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14284</xdr:colOff>
      <xdr:row>6</xdr:row>
      <xdr:rowOff>61914</xdr:rowOff>
    </xdr:from>
    <xdr:to>
      <xdr:col>20</xdr:col>
      <xdr:colOff>76159</xdr:colOff>
      <xdr:row>29</xdr:row>
      <xdr:rowOff>61351</xdr:rowOff>
    </xdr:to>
    <xdr:graphicFrame macro="">
      <xdr:nvGraphicFramePr>
        <xdr:cNvPr id="5" name="Diagramm 24">
          <a:extLst>
            <a:ext uri="{FF2B5EF4-FFF2-40B4-BE49-F238E27FC236}">
              <a16:creationId xmlns:a16="http://schemas.microsoft.com/office/drawing/2014/main" id="{008449FD-7ACD-40E0-AAAC-077FBC1635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8</xdr:row>
      <xdr:rowOff>38099</xdr:rowOff>
    </xdr:from>
    <xdr:to>
      <xdr:col>12</xdr:col>
      <xdr:colOff>657225</xdr:colOff>
      <xdr:row>19</xdr:row>
      <xdr:rowOff>123825</xdr:rowOff>
    </xdr:to>
    <xdr:graphicFrame macro="">
      <xdr:nvGraphicFramePr>
        <xdr:cNvPr id="3" name="Diagramm 2">
          <a:extLst>
            <a:ext uri="{FF2B5EF4-FFF2-40B4-BE49-F238E27FC236}">
              <a16:creationId xmlns:a16="http://schemas.microsoft.com/office/drawing/2014/main" id="{16A6ABB0-CC87-4DCC-8C77-3E5D825F8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41</xdr:row>
      <xdr:rowOff>9525</xdr:rowOff>
    </xdr:from>
    <xdr:to>
      <xdr:col>6</xdr:col>
      <xdr:colOff>533400</xdr:colOff>
      <xdr:row>58</xdr:row>
      <xdr:rowOff>133350</xdr:rowOff>
    </xdr:to>
    <xdr:graphicFrame macro="">
      <xdr:nvGraphicFramePr>
        <xdr:cNvPr id="5" name="Diagramm 24">
          <a:extLst>
            <a:ext uri="{FF2B5EF4-FFF2-40B4-BE49-F238E27FC236}">
              <a16:creationId xmlns:a16="http://schemas.microsoft.com/office/drawing/2014/main" id="{A03ABFF8-1B3C-4E7E-A949-791DD95703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28575</xdr:colOff>
      <xdr:row>25</xdr:row>
      <xdr:rowOff>95249</xdr:rowOff>
    </xdr:from>
    <xdr:to>
      <xdr:col>13</xdr:col>
      <xdr:colOff>0</xdr:colOff>
      <xdr:row>39</xdr:row>
      <xdr:rowOff>152399</xdr:rowOff>
    </xdr:to>
    <xdr:graphicFrame macro="">
      <xdr:nvGraphicFramePr>
        <xdr:cNvPr id="6" name="Diagramm 24">
          <a:extLst>
            <a:ext uri="{FF2B5EF4-FFF2-40B4-BE49-F238E27FC236}">
              <a16:creationId xmlns:a16="http://schemas.microsoft.com/office/drawing/2014/main" id="{1CF73B0F-F151-4794-B100-5EB7BDFBC2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Design">
  <a:themeElements>
    <a:clrScheme name="QMH_korrigiert">
      <a:dk1>
        <a:sysClr val="windowText" lastClr="000000"/>
      </a:dk1>
      <a:lt1>
        <a:sysClr val="window" lastClr="FFFFFF"/>
      </a:lt1>
      <a:dk2>
        <a:srgbClr val="44546A"/>
      </a:dk2>
      <a:lt2>
        <a:srgbClr val="E7E6E6"/>
      </a:lt2>
      <a:accent1>
        <a:srgbClr val="DE4343"/>
      </a:accent1>
      <a:accent2>
        <a:srgbClr val="FF7701"/>
      </a:accent2>
      <a:accent3>
        <a:srgbClr val="155C7C"/>
      </a:accent3>
      <a:accent4>
        <a:srgbClr val="B9AE70"/>
      </a:accent4>
      <a:accent5>
        <a:srgbClr val="82C0D9"/>
      </a:accent5>
      <a:accent6>
        <a:srgbClr val="2D5650"/>
      </a:accent6>
      <a:hlink>
        <a:srgbClr val="0563C1"/>
      </a:hlink>
      <a:folHlink>
        <a:srgbClr val="954F72"/>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O228"/>
  <sheetViews>
    <sheetView tabSelected="1" showWhiteSpace="0" zoomScaleNormal="100" workbookViewId="0">
      <selection activeCell="B2" sqref="B2"/>
    </sheetView>
  </sheetViews>
  <sheetFormatPr baseColWidth="10" defaultColWidth="0" defaultRowHeight="12.75" zeroHeight="1" x14ac:dyDescent="0.25"/>
  <cols>
    <col min="1" max="1" width="5.7109375" style="334" customWidth="1"/>
    <col min="2" max="2" width="79.85546875" style="355" customWidth="1"/>
    <col min="3" max="15" width="0" style="334" hidden="1" customWidth="1"/>
    <col min="16" max="16384" width="16.5703125" style="334" hidden="1"/>
  </cols>
  <sheetData>
    <row r="1" spans="1:15" s="329" customFormat="1" ht="36" x14ac:dyDescent="0.25">
      <c r="B1" s="369" t="s">
        <v>550</v>
      </c>
      <c r="H1" s="330"/>
      <c r="I1" s="330"/>
      <c r="J1" s="330"/>
      <c r="K1" s="330"/>
      <c r="L1" s="330"/>
      <c r="M1" s="330"/>
      <c r="N1" s="330"/>
      <c r="O1" s="330"/>
    </row>
    <row r="2" spans="1:15" s="329" customFormat="1" ht="12.95" customHeight="1" x14ac:dyDescent="0.25">
      <c r="B2" s="331" t="s">
        <v>555</v>
      </c>
      <c r="H2" s="330"/>
      <c r="I2" s="330"/>
      <c r="J2" s="330"/>
      <c r="K2" s="330"/>
      <c r="L2" s="330"/>
      <c r="M2" s="330"/>
      <c r="N2" s="330"/>
      <c r="O2" s="330"/>
    </row>
    <row r="3" spans="1:15" ht="12.95" customHeight="1" x14ac:dyDescent="0.25">
      <c r="A3" s="332"/>
      <c r="B3" s="333" t="s">
        <v>2</v>
      </c>
    </row>
    <row r="4" spans="1:15" ht="351" customHeight="1" x14ac:dyDescent="0.25">
      <c r="A4" s="335"/>
      <c r="B4" s="336" t="s">
        <v>509</v>
      </c>
    </row>
    <row r="5" spans="1:15" ht="43.9" customHeight="1" x14ac:dyDescent="0.25">
      <c r="A5" s="335"/>
      <c r="B5" s="336" t="s">
        <v>510</v>
      </c>
    </row>
    <row r="6" spans="1:15" ht="99.95" customHeight="1" x14ac:dyDescent="0.25">
      <c r="A6" s="335"/>
      <c r="B6" s="337" t="s">
        <v>511</v>
      </c>
    </row>
    <row r="7" spans="1:15" ht="31.5" customHeight="1" x14ac:dyDescent="0.25">
      <c r="A7" s="338">
        <v>100</v>
      </c>
      <c r="B7" s="336" t="s">
        <v>512</v>
      </c>
    </row>
    <row r="8" spans="1:15" ht="15" customHeight="1" x14ac:dyDescent="0.25">
      <c r="A8" s="338">
        <v>101</v>
      </c>
      <c r="B8" s="339" t="s">
        <v>147</v>
      </c>
    </row>
    <row r="9" spans="1:15" ht="45" customHeight="1" x14ac:dyDescent="0.25">
      <c r="A9" s="338">
        <v>102</v>
      </c>
      <c r="B9" s="370" t="s">
        <v>287</v>
      </c>
    </row>
    <row r="10" spans="1:15" ht="45" customHeight="1" x14ac:dyDescent="0.25">
      <c r="A10" s="338">
        <v>103</v>
      </c>
      <c r="B10" s="340" t="s">
        <v>334</v>
      </c>
    </row>
    <row r="11" spans="1:15" ht="45" customHeight="1" x14ac:dyDescent="0.25">
      <c r="A11" s="338">
        <v>104</v>
      </c>
      <c r="B11" s="341" t="s">
        <v>258</v>
      </c>
    </row>
    <row r="12" spans="1:15" ht="15" customHeight="1" x14ac:dyDescent="0.25">
      <c r="A12" s="338">
        <v>105</v>
      </c>
      <c r="B12" s="337" t="s">
        <v>146</v>
      </c>
    </row>
    <row r="13" spans="1:15" ht="15" customHeight="1" x14ac:dyDescent="0.25">
      <c r="A13" s="338">
        <v>106</v>
      </c>
      <c r="B13" s="337" t="s">
        <v>194</v>
      </c>
    </row>
    <row r="14" spans="1:15" ht="15" customHeight="1" x14ac:dyDescent="0.25">
      <c r="A14" s="338">
        <v>107</v>
      </c>
      <c r="B14" s="337" t="s">
        <v>193</v>
      </c>
    </row>
    <row r="15" spans="1:15" ht="33" customHeight="1" x14ac:dyDescent="0.25">
      <c r="A15" s="338">
        <v>108</v>
      </c>
      <c r="B15" s="336" t="s">
        <v>513</v>
      </c>
    </row>
    <row r="16" spans="1:15" ht="15" customHeight="1" x14ac:dyDescent="0.25">
      <c r="A16" s="338">
        <v>110</v>
      </c>
      <c r="B16" s="336" t="s">
        <v>149</v>
      </c>
    </row>
    <row r="17" spans="1:2" ht="30.75" customHeight="1" x14ac:dyDescent="0.25">
      <c r="A17" s="338">
        <v>111</v>
      </c>
      <c r="B17" s="337" t="s">
        <v>289</v>
      </c>
    </row>
    <row r="18" spans="1:2" ht="43.5" customHeight="1" x14ac:dyDescent="0.25">
      <c r="A18" s="342">
        <v>112</v>
      </c>
      <c r="B18" s="337" t="s">
        <v>290</v>
      </c>
    </row>
    <row r="19" spans="1:2" ht="43.5" customHeight="1" x14ac:dyDescent="0.25">
      <c r="A19" s="343">
        <v>113</v>
      </c>
      <c r="B19" s="337" t="s">
        <v>401</v>
      </c>
    </row>
    <row r="20" spans="1:2" ht="15" customHeight="1" x14ac:dyDescent="0.25">
      <c r="A20" s="342">
        <v>114</v>
      </c>
      <c r="B20" s="337" t="s">
        <v>28</v>
      </c>
    </row>
    <row r="21" spans="1:2" ht="31.5" customHeight="1" x14ac:dyDescent="0.25">
      <c r="A21" s="342">
        <v>115</v>
      </c>
      <c r="B21" s="337" t="s">
        <v>150</v>
      </c>
    </row>
    <row r="22" spans="1:2" ht="30" customHeight="1" x14ac:dyDescent="0.25">
      <c r="A22" s="338">
        <v>120</v>
      </c>
      <c r="B22" s="336" t="s">
        <v>291</v>
      </c>
    </row>
    <row r="23" spans="1:2" ht="15" customHeight="1" x14ac:dyDescent="0.25">
      <c r="A23" s="338">
        <v>121</v>
      </c>
      <c r="B23" s="337" t="s">
        <v>152</v>
      </c>
    </row>
    <row r="24" spans="1:2" ht="40.5" customHeight="1" x14ac:dyDescent="0.25">
      <c r="A24" s="338">
        <v>122</v>
      </c>
      <c r="B24" s="337" t="s">
        <v>514</v>
      </c>
    </row>
    <row r="25" spans="1:2" ht="29.25" customHeight="1" x14ac:dyDescent="0.25">
      <c r="A25" s="338">
        <v>123</v>
      </c>
      <c r="B25" s="337" t="s">
        <v>186</v>
      </c>
    </row>
    <row r="26" spans="1:2" ht="40.5" customHeight="1" x14ac:dyDescent="0.25">
      <c r="A26" s="342">
        <v>124</v>
      </c>
      <c r="B26" s="337" t="s">
        <v>515</v>
      </c>
    </row>
    <row r="27" spans="1:2" ht="42" customHeight="1" x14ac:dyDescent="0.25">
      <c r="A27" s="338">
        <v>125</v>
      </c>
      <c r="B27" s="337" t="s">
        <v>155</v>
      </c>
    </row>
    <row r="28" spans="1:2" ht="54.75" customHeight="1" x14ac:dyDescent="0.25">
      <c r="A28" s="342">
        <v>126</v>
      </c>
      <c r="B28" s="337" t="s">
        <v>156</v>
      </c>
    </row>
    <row r="29" spans="1:2" ht="27.75" customHeight="1" x14ac:dyDescent="0.25">
      <c r="A29" s="338">
        <v>127</v>
      </c>
      <c r="B29" s="337" t="s">
        <v>273</v>
      </c>
    </row>
    <row r="30" spans="1:2" ht="27.75" customHeight="1" x14ac:dyDescent="0.25">
      <c r="A30" s="342">
        <v>130</v>
      </c>
      <c r="B30" s="336" t="s">
        <v>516</v>
      </c>
    </row>
    <row r="31" spans="1:2" ht="31.5" customHeight="1" x14ac:dyDescent="0.25">
      <c r="A31" s="342">
        <v>131</v>
      </c>
      <c r="B31" s="337" t="s">
        <v>517</v>
      </c>
    </row>
    <row r="32" spans="1:2" ht="30" customHeight="1" x14ac:dyDescent="0.25">
      <c r="A32" s="338">
        <v>132</v>
      </c>
      <c r="B32" s="337" t="s">
        <v>518</v>
      </c>
    </row>
    <row r="33" spans="1:2" ht="15" customHeight="1" x14ac:dyDescent="0.25">
      <c r="A33" s="338">
        <v>135</v>
      </c>
      <c r="B33" s="337" t="s">
        <v>519</v>
      </c>
    </row>
    <row r="34" spans="1:2" ht="38.25" x14ac:dyDescent="0.25">
      <c r="A34" s="338">
        <v>136</v>
      </c>
      <c r="B34" s="337" t="s">
        <v>520</v>
      </c>
    </row>
    <row r="35" spans="1:2" ht="41.25" customHeight="1" x14ac:dyDescent="0.25">
      <c r="A35" s="338">
        <v>137</v>
      </c>
      <c r="B35" s="337" t="s">
        <v>237</v>
      </c>
    </row>
    <row r="36" spans="1:2" ht="30" customHeight="1" x14ac:dyDescent="0.25">
      <c r="A36" s="338">
        <v>138</v>
      </c>
      <c r="B36" s="337" t="s">
        <v>485</v>
      </c>
    </row>
    <row r="37" spans="1:2" x14ac:dyDescent="0.25">
      <c r="A37" s="338">
        <v>139</v>
      </c>
      <c r="B37" s="337" t="s">
        <v>486</v>
      </c>
    </row>
    <row r="38" spans="1:2" ht="15" customHeight="1" x14ac:dyDescent="0.25">
      <c r="A38" s="338">
        <v>140</v>
      </c>
      <c r="B38" s="336" t="s">
        <v>157</v>
      </c>
    </row>
    <row r="39" spans="1:2" ht="15" customHeight="1" x14ac:dyDescent="0.25">
      <c r="A39" s="338">
        <v>141</v>
      </c>
      <c r="B39" s="337" t="s">
        <v>158</v>
      </c>
    </row>
    <row r="40" spans="1:2" ht="30" customHeight="1" x14ac:dyDescent="0.25">
      <c r="A40" s="342">
        <v>142</v>
      </c>
      <c r="B40" s="337" t="s">
        <v>159</v>
      </c>
    </row>
    <row r="41" spans="1:2" ht="15" customHeight="1" x14ac:dyDescent="0.25">
      <c r="A41" s="342">
        <v>143</v>
      </c>
      <c r="B41" s="337" t="s">
        <v>160</v>
      </c>
    </row>
    <row r="42" spans="1:2" ht="15" customHeight="1" x14ac:dyDescent="0.25">
      <c r="A42" s="342">
        <v>150</v>
      </c>
      <c r="B42" s="336" t="s">
        <v>20</v>
      </c>
    </row>
    <row r="43" spans="1:2" ht="15" customHeight="1" x14ac:dyDescent="0.25">
      <c r="A43" s="338">
        <v>151</v>
      </c>
      <c r="B43" s="337" t="s">
        <v>162</v>
      </c>
    </row>
    <row r="44" spans="1:2" ht="15" customHeight="1" x14ac:dyDescent="0.25">
      <c r="A44" s="338">
        <v>152</v>
      </c>
      <c r="B44" s="337" t="s">
        <v>163</v>
      </c>
    </row>
    <row r="45" spans="1:2" ht="15" customHeight="1" x14ac:dyDescent="0.25">
      <c r="A45" s="338">
        <v>153</v>
      </c>
      <c r="B45" s="337" t="s">
        <v>164</v>
      </c>
    </row>
    <row r="46" spans="1:2" ht="15" customHeight="1" x14ac:dyDescent="0.25">
      <c r="A46" s="338">
        <v>154</v>
      </c>
      <c r="B46" s="337" t="s">
        <v>310</v>
      </c>
    </row>
    <row r="47" spans="1:2" ht="15" customHeight="1" x14ac:dyDescent="0.25">
      <c r="A47" s="338">
        <v>155</v>
      </c>
      <c r="B47" s="337" t="s">
        <v>165</v>
      </c>
    </row>
    <row r="48" spans="1:2" ht="45" customHeight="1" x14ac:dyDescent="0.25">
      <c r="A48" s="338">
        <v>156</v>
      </c>
      <c r="B48" s="337" t="s">
        <v>305</v>
      </c>
    </row>
    <row r="49" spans="1:2" ht="69.95" customHeight="1" x14ac:dyDescent="0.25">
      <c r="A49" s="338">
        <v>157</v>
      </c>
      <c r="B49" s="337" t="s">
        <v>279</v>
      </c>
    </row>
    <row r="50" spans="1:2" ht="30" customHeight="1" x14ac:dyDescent="0.25">
      <c r="A50" s="338">
        <v>158</v>
      </c>
      <c r="B50" s="337" t="s">
        <v>306</v>
      </c>
    </row>
    <row r="51" spans="1:2" ht="15" customHeight="1" x14ac:dyDescent="0.25">
      <c r="A51" s="338">
        <v>159</v>
      </c>
      <c r="B51" s="337" t="s">
        <v>292</v>
      </c>
    </row>
    <row r="52" spans="1:2" ht="54.95" customHeight="1" x14ac:dyDescent="0.25">
      <c r="A52" s="338">
        <v>160</v>
      </c>
      <c r="B52" s="337" t="s">
        <v>286</v>
      </c>
    </row>
    <row r="53" spans="1:2" ht="54.95" customHeight="1" x14ac:dyDescent="0.25">
      <c r="A53" s="338">
        <v>161</v>
      </c>
      <c r="B53" s="337" t="s">
        <v>315</v>
      </c>
    </row>
    <row r="54" spans="1:2" ht="54.95" customHeight="1" x14ac:dyDescent="0.25">
      <c r="A54" s="338">
        <v>162</v>
      </c>
      <c r="B54" s="337" t="s">
        <v>316</v>
      </c>
    </row>
    <row r="55" spans="1:2" ht="54.95" customHeight="1" x14ac:dyDescent="0.25">
      <c r="A55" s="338">
        <v>163</v>
      </c>
      <c r="B55" s="337" t="s">
        <v>317</v>
      </c>
    </row>
    <row r="56" spans="1:2" ht="30" customHeight="1" x14ac:dyDescent="0.25">
      <c r="A56" s="338">
        <v>165</v>
      </c>
      <c r="B56" s="337" t="s">
        <v>521</v>
      </c>
    </row>
    <row r="57" spans="1:2" ht="15" customHeight="1" x14ac:dyDescent="0.25">
      <c r="A57" s="338">
        <v>166</v>
      </c>
      <c r="B57" s="337" t="s">
        <v>307</v>
      </c>
    </row>
    <row r="58" spans="1:2" ht="105.75" customHeight="1" x14ac:dyDescent="0.25">
      <c r="A58" s="338">
        <v>167</v>
      </c>
      <c r="B58" s="337" t="s">
        <v>280</v>
      </c>
    </row>
    <row r="59" spans="1:2" ht="30" customHeight="1" x14ac:dyDescent="0.25">
      <c r="A59" s="338">
        <v>168</v>
      </c>
      <c r="B59" s="337" t="s">
        <v>167</v>
      </c>
    </row>
    <row r="60" spans="1:2" ht="15" customHeight="1" x14ac:dyDescent="0.25">
      <c r="A60" s="338">
        <v>169</v>
      </c>
      <c r="B60" s="337" t="s">
        <v>364</v>
      </c>
    </row>
    <row r="61" spans="1:2" s="344" customFormat="1" ht="15" customHeight="1" x14ac:dyDescent="0.25">
      <c r="A61" s="338">
        <v>170</v>
      </c>
      <c r="B61" s="336" t="s">
        <v>168</v>
      </c>
    </row>
    <row r="62" spans="1:2" ht="30" customHeight="1" x14ac:dyDescent="0.25">
      <c r="A62" s="338">
        <v>171</v>
      </c>
      <c r="B62" s="337" t="s">
        <v>293</v>
      </c>
    </row>
    <row r="63" spans="1:2" ht="15" customHeight="1" x14ac:dyDescent="0.25">
      <c r="A63" s="338">
        <v>172</v>
      </c>
      <c r="B63" s="337" t="s">
        <v>170</v>
      </c>
    </row>
    <row r="64" spans="1:2" ht="39.75" customHeight="1" x14ac:dyDescent="0.25">
      <c r="A64" s="338">
        <v>173</v>
      </c>
      <c r="B64" s="337" t="s">
        <v>169</v>
      </c>
    </row>
    <row r="65" spans="1:2" ht="15" customHeight="1" x14ac:dyDescent="0.25">
      <c r="A65" s="338">
        <v>174</v>
      </c>
      <c r="B65" s="337" t="s">
        <v>171</v>
      </c>
    </row>
    <row r="66" spans="1:2" ht="15" customHeight="1" x14ac:dyDescent="0.25">
      <c r="A66" s="338">
        <v>175</v>
      </c>
      <c r="B66" s="337" t="s">
        <v>172</v>
      </c>
    </row>
    <row r="67" spans="1:2" ht="30" customHeight="1" x14ac:dyDescent="0.25">
      <c r="A67" s="338">
        <v>176</v>
      </c>
      <c r="B67" s="337" t="s">
        <v>173</v>
      </c>
    </row>
    <row r="68" spans="1:2" ht="15" customHeight="1" x14ac:dyDescent="0.25">
      <c r="A68" s="338">
        <v>177</v>
      </c>
      <c r="B68" s="337" t="s">
        <v>174</v>
      </c>
    </row>
    <row r="69" spans="1:2" ht="15" customHeight="1" x14ac:dyDescent="0.25">
      <c r="A69" s="338">
        <v>178</v>
      </c>
      <c r="B69" s="337" t="s">
        <v>175</v>
      </c>
    </row>
    <row r="70" spans="1:2" ht="45" customHeight="1" x14ac:dyDescent="0.25">
      <c r="A70" s="338">
        <v>179</v>
      </c>
      <c r="B70" s="337" t="s">
        <v>176</v>
      </c>
    </row>
    <row r="71" spans="1:2" ht="30" customHeight="1" x14ac:dyDescent="0.25">
      <c r="A71" s="338">
        <v>180</v>
      </c>
      <c r="B71" s="337" t="s">
        <v>178</v>
      </c>
    </row>
    <row r="72" spans="1:2" ht="30" customHeight="1" x14ac:dyDescent="0.25">
      <c r="A72" s="338">
        <v>181</v>
      </c>
      <c r="B72" s="337" t="s">
        <v>185</v>
      </c>
    </row>
    <row r="73" spans="1:2" ht="15" customHeight="1" x14ac:dyDescent="0.25">
      <c r="A73" s="338">
        <v>182</v>
      </c>
      <c r="B73" s="337" t="s">
        <v>184</v>
      </c>
    </row>
    <row r="74" spans="1:2" ht="30" customHeight="1" x14ac:dyDescent="0.25">
      <c r="A74" s="338">
        <v>183</v>
      </c>
      <c r="B74" s="337" t="s">
        <v>188</v>
      </c>
    </row>
    <row r="75" spans="1:2" ht="30" customHeight="1" x14ac:dyDescent="0.25">
      <c r="A75" s="338">
        <v>184</v>
      </c>
      <c r="B75" s="337" t="s">
        <v>190</v>
      </c>
    </row>
    <row r="76" spans="1:2" ht="30" customHeight="1" x14ac:dyDescent="0.25">
      <c r="A76" s="338">
        <v>185</v>
      </c>
      <c r="B76" s="337" t="s">
        <v>187</v>
      </c>
    </row>
    <row r="77" spans="1:2" ht="41.25" customHeight="1" x14ac:dyDescent="0.25">
      <c r="A77" s="338">
        <v>186</v>
      </c>
      <c r="B77" s="337" t="s">
        <v>294</v>
      </c>
    </row>
    <row r="78" spans="1:2" ht="30" customHeight="1" x14ac:dyDescent="0.25">
      <c r="A78" s="338">
        <v>187</v>
      </c>
      <c r="B78" s="337" t="s">
        <v>191</v>
      </c>
    </row>
    <row r="79" spans="1:2" ht="15" customHeight="1" x14ac:dyDescent="0.25">
      <c r="A79" s="338">
        <v>190</v>
      </c>
      <c r="B79" s="337" t="s">
        <v>192</v>
      </c>
    </row>
    <row r="80" spans="1:2" ht="30" customHeight="1" x14ac:dyDescent="0.25">
      <c r="A80" s="338">
        <v>191</v>
      </c>
      <c r="B80" s="337" t="s">
        <v>308</v>
      </c>
    </row>
    <row r="81" spans="1:2" ht="42" customHeight="1" x14ac:dyDescent="0.25">
      <c r="A81" s="338">
        <v>192</v>
      </c>
      <c r="B81" s="337" t="s">
        <v>496</v>
      </c>
    </row>
    <row r="82" spans="1:2" ht="42.75" customHeight="1" x14ac:dyDescent="0.25">
      <c r="A82" s="338">
        <v>193</v>
      </c>
      <c r="B82" s="337" t="s">
        <v>497</v>
      </c>
    </row>
    <row r="83" spans="1:2" ht="46.5" customHeight="1" x14ac:dyDescent="0.25">
      <c r="A83" s="338">
        <v>194</v>
      </c>
      <c r="B83" s="337" t="s">
        <v>498</v>
      </c>
    </row>
    <row r="84" spans="1:2" ht="67.5" customHeight="1" x14ac:dyDescent="0.25">
      <c r="A84" s="338">
        <v>195</v>
      </c>
      <c r="B84" s="337" t="s">
        <v>499</v>
      </c>
    </row>
    <row r="85" spans="1:2" ht="66.75" customHeight="1" x14ac:dyDescent="0.25">
      <c r="A85" s="338">
        <v>196</v>
      </c>
      <c r="B85" s="337" t="s">
        <v>500</v>
      </c>
    </row>
    <row r="86" spans="1:2" ht="30" customHeight="1" x14ac:dyDescent="0.25">
      <c r="A86" s="338">
        <v>197</v>
      </c>
      <c r="B86" s="337" t="s">
        <v>501</v>
      </c>
    </row>
    <row r="87" spans="1:2" ht="31.5" customHeight="1" x14ac:dyDescent="0.25">
      <c r="A87" s="338">
        <v>198</v>
      </c>
      <c r="B87" s="337" t="s">
        <v>552</v>
      </c>
    </row>
    <row r="88" spans="1:2" ht="31.9" customHeight="1" x14ac:dyDescent="0.25">
      <c r="A88" s="338">
        <v>199</v>
      </c>
      <c r="B88" s="337" t="s">
        <v>551</v>
      </c>
    </row>
    <row r="89" spans="1:2" ht="15" customHeight="1" x14ac:dyDescent="0.25">
      <c r="A89" s="338"/>
      <c r="B89" s="337"/>
    </row>
    <row r="90" spans="1:2" ht="30" customHeight="1" x14ac:dyDescent="0.25">
      <c r="A90" s="338">
        <v>200</v>
      </c>
      <c r="B90" s="336" t="s">
        <v>522</v>
      </c>
    </row>
    <row r="91" spans="1:2" ht="15" customHeight="1" x14ac:dyDescent="0.25">
      <c r="A91" s="338">
        <v>206</v>
      </c>
      <c r="B91" s="337" t="s">
        <v>198</v>
      </c>
    </row>
    <row r="92" spans="1:2" ht="15" customHeight="1" x14ac:dyDescent="0.25">
      <c r="A92" s="338">
        <v>207</v>
      </c>
      <c r="B92" s="337" t="s">
        <v>295</v>
      </c>
    </row>
    <row r="93" spans="1:2" ht="15" customHeight="1" x14ac:dyDescent="0.25">
      <c r="A93" s="338">
        <v>210</v>
      </c>
      <c r="B93" s="336" t="s">
        <v>195</v>
      </c>
    </row>
    <row r="94" spans="1:2" ht="54.95" customHeight="1" x14ac:dyDescent="0.25">
      <c r="A94" s="338">
        <v>211</v>
      </c>
      <c r="B94" s="337" t="s">
        <v>196</v>
      </c>
    </row>
    <row r="95" spans="1:2" ht="69.95" customHeight="1" x14ac:dyDescent="0.25">
      <c r="A95" s="338">
        <v>212</v>
      </c>
      <c r="B95" s="337" t="s">
        <v>309</v>
      </c>
    </row>
    <row r="96" spans="1:2" ht="15" customHeight="1" x14ac:dyDescent="0.25">
      <c r="A96" s="338">
        <v>213</v>
      </c>
      <c r="B96" s="337" t="s">
        <v>197</v>
      </c>
    </row>
    <row r="97" spans="1:2" ht="80.099999999999994" customHeight="1" x14ac:dyDescent="0.25">
      <c r="A97" s="338">
        <v>214</v>
      </c>
      <c r="B97" s="337" t="s">
        <v>322</v>
      </c>
    </row>
    <row r="98" spans="1:2" ht="54.95" customHeight="1" x14ac:dyDescent="0.25">
      <c r="A98" s="345" t="s">
        <v>323</v>
      </c>
      <c r="B98" s="337" t="s">
        <v>324</v>
      </c>
    </row>
    <row r="99" spans="1:2" ht="54.95" customHeight="1" x14ac:dyDescent="0.25">
      <c r="A99" s="345" t="s">
        <v>325</v>
      </c>
      <c r="B99" s="337" t="s">
        <v>327</v>
      </c>
    </row>
    <row r="100" spans="1:2" ht="65.25" customHeight="1" x14ac:dyDescent="0.25">
      <c r="A100" s="345" t="s">
        <v>326</v>
      </c>
      <c r="B100" s="337" t="s">
        <v>328</v>
      </c>
    </row>
    <row r="101" spans="1:2" ht="15" customHeight="1" x14ac:dyDescent="0.25">
      <c r="A101" s="345"/>
      <c r="B101" s="337"/>
    </row>
    <row r="102" spans="1:2" ht="30" customHeight="1" x14ac:dyDescent="0.25">
      <c r="A102" s="342">
        <v>300</v>
      </c>
      <c r="B102" s="336" t="s">
        <v>523</v>
      </c>
    </row>
    <row r="103" spans="1:2" ht="135" customHeight="1" x14ac:dyDescent="0.25">
      <c r="A103" s="342">
        <v>310</v>
      </c>
      <c r="B103" s="337" t="s">
        <v>524</v>
      </c>
    </row>
    <row r="104" spans="1:2" ht="41.25" customHeight="1" x14ac:dyDescent="0.25">
      <c r="A104" s="342">
        <v>311</v>
      </c>
      <c r="B104" s="337" t="s">
        <v>335</v>
      </c>
    </row>
    <row r="105" spans="1:2" ht="45" customHeight="1" x14ac:dyDescent="0.25">
      <c r="A105" s="342">
        <v>312</v>
      </c>
      <c r="B105" s="337" t="s">
        <v>336</v>
      </c>
    </row>
    <row r="106" spans="1:2" ht="54.95" customHeight="1" x14ac:dyDescent="0.25">
      <c r="A106" s="342">
        <v>320</v>
      </c>
      <c r="B106" s="337" t="s">
        <v>399</v>
      </c>
    </row>
    <row r="107" spans="1:2" ht="54.95" customHeight="1" x14ac:dyDescent="0.25">
      <c r="A107" s="342">
        <v>321</v>
      </c>
      <c r="B107" s="337" t="s">
        <v>200</v>
      </c>
    </row>
    <row r="108" spans="1:2" ht="69.95" customHeight="1" x14ac:dyDescent="0.25">
      <c r="A108" s="342">
        <v>322</v>
      </c>
      <c r="B108" s="337" t="s">
        <v>296</v>
      </c>
    </row>
    <row r="109" spans="1:2" ht="15" customHeight="1" x14ac:dyDescent="0.25">
      <c r="A109" s="342">
        <v>323</v>
      </c>
      <c r="B109" s="337" t="s">
        <v>201</v>
      </c>
    </row>
    <row r="110" spans="1:2" ht="30" customHeight="1" x14ac:dyDescent="0.25">
      <c r="A110" s="342">
        <v>324</v>
      </c>
      <c r="B110" s="337" t="s">
        <v>202</v>
      </c>
    </row>
    <row r="111" spans="1:2" ht="30" customHeight="1" x14ac:dyDescent="0.25">
      <c r="A111" s="342">
        <v>325</v>
      </c>
      <c r="B111" s="337" t="s">
        <v>297</v>
      </c>
    </row>
    <row r="112" spans="1:2" ht="45" customHeight="1" x14ac:dyDescent="0.25">
      <c r="A112" s="342">
        <v>330</v>
      </c>
      <c r="B112" s="337" t="s">
        <v>346</v>
      </c>
    </row>
    <row r="113" spans="1:2" ht="30" customHeight="1" x14ac:dyDescent="0.25">
      <c r="A113" s="342">
        <v>331</v>
      </c>
      <c r="B113" s="337" t="s">
        <v>203</v>
      </c>
    </row>
    <row r="114" spans="1:2" ht="30" customHeight="1" x14ac:dyDescent="0.25">
      <c r="A114" s="342">
        <v>332</v>
      </c>
      <c r="B114" s="337" t="s">
        <v>204</v>
      </c>
    </row>
    <row r="115" spans="1:2" ht="30" customHeight="1" x14ac:dyDescent="0.25">
      <c r="A115" s="342">
        <v>333</v>
      </c>
      <c r="B115" s="337" t="s">
        <v>205</v>
      </c>
    </row>
    <row r="116" spans="1:2" ht="15" customHeight="1" x14ac:dyDescent="0.25">
      <c r="A116" s="342">
        <v>334</v>
      </c>
      <c r="B116" s="337" t="s">
        <v>206</v>
      </c>
    </row>
    <row r="117" spans="1:2" ht="30" customHeight="1" x14ac:dyDescent="0.25">
      <c r="A117" s="342">
        <v>335</v>
      </c>
      <c r="B117" s="337" t="s">
        <v>207</v>
      </c>
    </row>
    <row r="118" spans="1:2" ht="15" customHeight="1" x14ac:dyDescent="0.25">
      <c r="A118" s="345"/>
      <c r="B118" s="337"/>
    </row>
    <row r="119" spans="1:2" ht="105" customHeight="1" x14ac:dyDescent="0.25">
      <c r="A119" s="338">
        <v>500</v>
      </c>
      <c r="B119" s="337" t="s">
        <v>525</v>
      </c>
    </row>
    <row r="120" spans="1:2" ht="30" customHeight="1" x14ac:dyDescent="0.25">
      <c r="A120" s="338">
        <v>501</v>
      </c>
      <c r="B120" s="337" t="s">
        <v>209</v>
      </c>
    </row>
    <row r="121" spans="1:2" ht="80.099999999999994" customHeight="1" x14ac:dyDescent="0.25">
      <c r="A121" s="338">
        <v>505</v>
      </c>
      <c r="B121" s="337" t="s">
        <v>238</v>
      </c>
    </row>
    <row r="122" spans="1:2" ht="30" customHeight="1" x14ac:dyDescent="0.25">
      <c r="A122" s="338">
        <v>510</v>
      </c>
      <c r="B122" s="337" t="s">
        <v>220</v>
      </c>
    </row>
    <row r="123" spans="1:2" ht="30" customHeight="1" x14ac:dyDescent="0.25">
      <c r="A123" s="338">
        <v>511</v>
      </c>
      <c r="B123" s="337" t="s">
        <v>298</v>
      </c>
    </row>
    <row r="124" spans="1:2" ht="15" customHeight="1" x14ac:dyDescent="0.25">
      <c r="A124" s="338">
        <v>512</v>
      </c>
      <c r="B124" s="337" t="s">
        <v>223</v>
      </c>
    </row>
    <row r="125" spans="1:2" ht="15" customHeight="1" x14ac:dyDescent="0.25">
      <c r="A125" s="338">
        <v>513</v>
      </c>
      <c r="B125" s="337" t="s">
        <v>224</v>
      </c>
    </row>
    <row r="126" spans="1:2" ht="15" customHeight="1" x14ac:dyDescent="0.25">
      <c r="A126" s="338">
        <v>514</v>
      </c>
      <c r="B126" s="337" t="s">
        <v>225</v>
      </c>
    </row>
    <row r="127" spans="1:2" ht="15" customHeight="1" x14ac:dyDescent="0.25">
      <c r="A127" s="338">
        <v>515</v>
      </c>
      <c r="B127" s="337" t="s">
        <v>226</v>
      </c>
    </row>
    <row r="128" spans="1:2" ht="15" customHeight="1" x14ac:dyDescent="0.25">
      <c r="A128" s="338">
        <v>516</v>
      </c>
      <c r="B128" s="337" t="s">
        <v>229</v>
      </c>
    </row>
    <row r="129" spans="1:2" ht="15" customHeight="1" x14ac:dyDescent="0.25">
      <c r="A129" s="338">
        <v>517</v>
      </c>
      <c r="B129" s="337" t="s">
        <v>228</v>
      </c>
    </row>
    <row r="130" spans="1:2" ht="15" customHeight="1" x14ac:dyDescent="0.25">
      <c r="A130" s="338">
        <v>518</v>
      </c>
      <c r="B130" s="337" t="s">
        <v>230</v>
      </c>
    </row>
    <row r="131" spans="1:2" ht="15" customHeight="1" x14ac:dyDescent="0.25">
      <c r="A131" s="338">
        <v>519</v>
      </c>
      <c r="B131" s="337" t="s">
        <v>231</v>
      </c>
    </row>
    <row r="132" spans="1:2" ht="45" customHeight="1" x14ac:dyDescent="0.25">
      <c r="A132" s="338">
        <v>520</v>
      </c>
      <c r="B132" s="337" t="s">
        <v>227</v>
      </c>
    </row>
    <row r="133" spans="1:2" ht="45" customHeight="1" x14ac:dyDescent="0.25">
      <c r="A133" s="338">
        <v>530</v>
      </c>
      <c r="B133" s="337" t="s">
        <v>344</v>
      </c>
    </row>
    <row r="134" spans="1:2" ht="15" customHeight="1" x14ac:dyDescent="0.25">
      <c r="A134" s="338">
        <v>531</v>
      </c>
      <c r="B134" s="337" t="s">
        <v>345</v>
      </c>
    </row>
    <row r="135" spans="1:2" ht="67.5" customHeight="1" x14ac:dyDescent="0.25">
      <c r="A135" s="338">
        <v>550</v>
      </c>
      <c r="B135" s="337" t="s">
        <v>365</v>
      </c>
    </row>
    <row r="136" spans="1:2" ht="15" customHeight="1" x14ac:dyDescent="0.25">
      <c r="A136" s="338">
        <v>551</v>
      </c>
      <c r="B136" s="337" t="s">
        <v>39</v>
      </c>
    </row>
    <row r="137" spans="1:2" ht="30" customHeight="1" x14ac:dyDescent="0.25">
      <c r="A137" s="338">
        <v>552</v>
      </c>
      <c r="B137" s="337" t="s">
        <v>366</v>
      </c>
    </row>
    <row r="138" spans="1:2" ht="15" customHeight="1" x14ac:dyDescent="0.25">
      <c r="A138" s="338">
        <v>553</v>
      </c>
      <c r="B138" s="337" t="s">
        <v>311</v>
      </c>
    </row>
    <row r="139" spans="1:2" ht="15" customHeight="1" x14ac:dyDescent="0.25">
      <c r="A139" s="338">
        <v>554</v>
      </c>
      <c r="B139" s="337" t="s">
        <v>347</v>
      </c>
    </row>
    <row r="140" spans="1:2" ht="15" customHeight="1" x14ac:dyDescent="0.25">
      <c r="A140" s="338">
        <v>555</v>
      </c>
      <c r="B140" s="337" t="s">
        <v>348</v>
      </c>
    </row>
    <row r="141" spans="1:2" ht="15" customHeight="1" x14ac:dyDescent="0.25">
      <c r="A141" s="338">
        <v>556</v>
      </c>
      <c r="B141" s="337" t="s">
        <v>349</v>
      </c>
    </row>
    <row r="142" spans="1:2" ht="30" customHeight="1" x14ac:dyDescent="0.25">
      <c r="A142" s="338">
        <v>557</v>
      </c>
      <c r="B142" s="337" t="s">
        <v>367</v>
      </c>
    </row>
    <row r="143" spans="1:2" ht="95.1" customHeight="1" x14ac:dyDescent="0.25">
      <c r="A143" s="338">
        <v>558</v>
      </c>
      <c r="B143" s="337" t="s">
        <v>369</v>
      </c>
    </row>
    <row r="144" spans="1:2" ht="30" customHeight="1" x14ac:dyDescent="0.25">
      <c r="A144" s="338">
        <v>559</v>
      </c>
      <c r="B144" s="337" t="s">
        <v>368</v>
      </c>
    </row>
    <row r="145" spans="1:2" ht="81.75" customHeight="1" x14ac:dyDescent="0.25">
      <c r="A145" s="342">
        <v>560</v>
      </c>
      <c r="B145" s="337" t="s">
        <v>370</v>
      </c>
    </row>
    <row r="146" spans="1:2" ht="81" customHeight="1" x14ac:dyDescent="0.25">
      <c r="A146" s="342">
        <v>561</v>
      </c>
      <c r="B146" s="337" t="s">
        <v>371</v>
      </c>
    </row>
    <row r="147" spans="1:2" ht="30" customHeight="1" x14ac:dyDescent="0.25">
      <c r="A147" s="342">
        <v>562</v>
      </c>
      <c r="B147" s="337" t="s">
        <v>372</v>
      </c>
    </row>
    <row r="148" spans="1:2" s="347" customFormat="1" ht="30" customHeight="1" x14ac:dyDescent="0.25">
      <c r="A148" s="343">
        <v>563</v>
      </c>
      <c r="B148" s="346" t="s">
        <v>397</v>
      </c>
    </row>
    <row r="149" spans="1:2" ht="15" customHeight="1" x14ac:dyDescent="0.25">
      <c r="A149" s="338">
        <v>564</v>
      </c>
      <c r="B149" s="336" t="s">
        <v>233</v>
      </c>
    </row>
    <row r="150" spans="1:2" ht="15" customHeight="1" x14ac:dyDescent="0.25">
      <c r="A150" s="338">
        <v>571</v>
      </c>
      <c r="B150" s="337" t="s">
        <v>234</v>
      </c>
    </row>
    <row r="151" spans="1:2" ht="15" customHeight="1" x14ac:dyDescent="0.25">
      <c r="A151" s="338">
        <v>572</v>
      </c>
      <c r="B151" s="337" t="s">
        <v>299</v>
      </c>
    </row>
    <row r="152" spans="1:2" s="349" customFormat="1" ht="45" customHeight="1" x14ac:dyDescent="0.25">
      <c r="A152" s="348">
        <v>573</v>
      </c>
      <c r="B152" s="346" t="s">
        <v>373</v>
      </c>
    </row>
    <row r="153" spans="1:2" ht="45" customHeight="1" x14ac:dyDescent="0.25">
      <c r="A153" s="338">
        <v>574</v>
      </c>
      <c r="B153" s="337" t="s">
        <v>278</v>
      </c>
    </row>
    <row r="154" spans="1:2" ht="84.95" customHeight="1" x14ac:dyDescent="0.25">
      <c r="A154" s="338">
        <v>575</v>
      </c>
      <c r="B154" s="337" t="s">
        <v>312</v>
      </c>
    </row>
    <row r="155" spans="1:2" ht="15" customHeight="1" x14ac:dyDescent="0.25">
      <c r="A155" s="338">
        <v>576</v>
      </c>
      <c r="B155" s="336" t="s">
        <v>235</v>
      </c>
    </row>
    <row r="156" spans="1:2" ht="15" customHeight="1" x14ac:dyDescent="0.25">
      <c r="A156" s="338">
        <v>577</v>
      </c>
      <c r="B156" s="337" t="s">
        <v>374</v>
      </c>
    </row>
    <row r="157" spans="1:2" ht="15" customHeight="1" x14ac:dyDescent="0.25">
      <c r="A157" s="338">
        <v>578</v>
      </c>
      <c r="B157" s="337" t="s">
        <v>375</v>
      </c>
    </row>
    <row r="158" spans="1:2" ht="71.25" customHeight="1" x14ac:dyDescent="0.25">
      <c r="A158" s="338">
        <v>580</v>
      </c>
      <c r="B158" s="337" t="s">
        <v>398</v>
      </c>
    </row>
    <row r="159" spans="1:2" ht="15" customHeight="1" x14ac:dyDescent="0.25">
      <c r="A159" s="338">
        <v>581</v>
      </c>
      <c r="B159" s="337" t="s">
        <v>376</v>
      </c>
    </row>
    <row r="160" spans="1:2" ht="30" customHeight="1" x14ac:dyDescent="0.25">
      <c r="A160" s="338">
        <v>582</v>
      </c>
      <c r="B160" s="337" t="s">
        <v>377</v>
      </c>
    </row>
    <row r="161" spans="1:2" ht="45" customHeight="1" x14ac:dyDescent="0.25">
      <c r="A161" s="338">
        <v>583</v>
      </c>
      <c r="B161" s="337" t="s">
        <v>378</v>
      </c>
    </row>
    <row r="162" spans="1:2" ht="15" customHeight="1" x14ac:dyDescent="0.25">
      <c r="A162" s="338">
        <v>584</v>
      </c>
      <c r="B162" s="337" t="s">
        <v>361</v>
      </c>
    </row>
    <row r="163" spans="1:2" ht="30" customHeight="1" x14ac:dyDescent="0.25">
      <c r="A163" s="338">
        <v>586</v>
      </c>
      <c r="B163" s="337" t="s">
        <v>313</v>
      </c>
    </row>
    <row r="164" spans="1:2" ht="54.95" customHeight="1" x14ac:dyDescent="0.25">
      <c r="A164" s="338">
        <v>587</v>
      </c>
      <c r="B164" s="337" t="s">
        <v>379</v>
      </c>
    </row>
    <row r="165" spans="1:2" ht="54.95" customHeight="1" x14ac:dyDescent="0.25">
      <c r="A165" s="338">
        <v>588</v>
      </c>
      <c r="B165" s="337" t="s">
        <v>314</v>
      </c>
    </row>
    <row r="166" spans="1:2" s="349" customFormat="1" ht="30" customHeight="1" x14ac:dyDescent="0.25">
      <c r="A166" s="348">
        <v>589</v>
      </c>
      <c r="B166" s="346" t="s">
        <v>380</v>
      </c>
    </row>
    <row r="167" spans="1:2" ht="15" customHeight="1" x14ac:dyDescent="0.25">
      <c r="A167" s="338">
        <v>590</v>
      </c>
      <c r="B167" s="337" t="s">
        <v>236</v>
      </c>
    </row>
    <row r="168" spans="1:2" ht="54" customHeight="1" x14ac:dyDescent="0.25">
      <c r="A168" s="338">
        <v>591</v>
      </c>
      <c r="B168" s="337" t="s">
        <v>318</v>
      </c>
    </row>
    <row r="169" spans="1:2" ht="15" customHeight="1" x14ac:dyDescent="0.25">
      <c r="A169" s="338"/>
      <c r="B169" s="337"/>
    </row>
    <row r="170" spans="1:2" ht="30" customHeight="1" x14ac:dyDescent="0.25">
      <c r="A170" s="338">
        <v>600</v>
      </c>
      <c r="B170" s="337" t="s">
        <v>526</v>
      </c>
    </row>
    <row r="171" spans="1:2" ht="15" customHeight="1" x14ac:dyDescent="0.25">
      <c r="A171" s="338">
        <v>610</v>
      </c>
      <c r="B171" s="337" t="s">
        <v>527</v>
      </c>
    </row>
    <row r="172" spans="1:2" ht="15" customHeight="1" x14ac:dyDescent="0.25">
      <c r="A172" s="338">
        <v>612</v>
      </c>
      <c r="B172" s="337" t="s">
        <v>255</v>
      </c>
    </row>
    <row r="173" spans="1:2" ht="30" customHeight="1" x14ac:dyDescent="0.25">
      <c r="A173" s="338">
        <v>613</v>
      </c>
      <c r="B173" s="337" t="s">
        <v>272</v>
      </c>
    </row>
    <row r="174" spans="1:2" ht="15" customHeight="1" x14ac:dyDescent="0.25">
      <c r="A174" s="338">
        <v>615</v>
      </c>
      <c r="B174" s="337" t="s">
        <v>528</v>
      </c>
    </row>
    <row r="175" spans="1:2" ht="30" customHeight="1" x14ac:dyDescent="0.25">
      <c r="A175" s="338">
        <v>620</v>
      </c>
      <c r="B175" s="337" t="s">
        <v>529</v>
      </c>
    </row>
    <row r="176" spans="1:2" ht="43.5" customHeight="1" x14ac:dyDescent="0.25">
      <c r="A176" s="338">
        <v>621</v>
      </c>
      <c r="B176" s="337" t="s">
        <v>300</v>
      </c>
    </row>
    <row r="177" spans="1:2" ht="45" customHeight="1" x14ac:dyDescent="0.25">
      <c r="A177" s="338">
        <v>622</v>
      </c>
      <c r="B177" s="337" t="s">
        <v>384</v>
      </c>
    </row>
    <row r="178" spans="1:2" ht="15" customHeight="1" x14ac:dyDescent="0.25">
      <c r="A178" s="338">
        <v>623</v>
      </c>
      <c r="B178" s="337" t="s">
        <v>385</v>
      </c>
    </row>
    <row r="179" spans="1:2" ht="45" customHeight="1" x14ac:dyDescent="0.25">
      <c r="A179" s="338">
        <v>624</v>
      </c>
      <c r="B179" s="337" t="s">
        <v>386</v>
      </c>
    </row>
    <row r="180" spans="1:2" ht="45" customHeight="1" x14ac:dyDescent="0.25">
      <c r="A180" s="338">
        <v>625</v>
      </c>
      <c r="B180" s="337" t="s">
        <v>388</v>
      </c>
    </row>
    <row r="181" spans="1:2" ht="45" customHeight="1" x14ac:dyDescent="0.25">
      <c r="A181" s="338">
        <v>626</v>
      </c>
      <c r="B181" s="337" t="s">
        <v>389</v>
      </c>
    </row>
    <row r="182" spans="1:2" ht="45" customHeight="1" x14ac:dyDescent="0.25">
      <c r="A182" s="338">
        <v>627</v>
      </c>
      <c r="B182" s="337" t="s">
        <v>387</v>
      </c>
    </row>
    <row r="183" spans="1:2" ht="30" customHeight="1" x14ac:dyDescent="0.25">
      <c r="A183" s="338">
        <v>650</v>
      </c>
      <c r="B183" s="337" t="s">
        <v>530</v>
      </c>
    </row>
    <row r="184" spans="1:2" ht="15" customHeight="1" x14ac:dyDescent="0.25">
      <c r="A184" s="338">
        <v>651</v>
      </c>
      <c r="B184" s="337" t="s">
        <v>391</v>
      </c>
    </row>
    <row r="185" spans="1:2" ht="30" customHeight="1" x14ac:dyDescent="0.25">
      <c r="A185" s="338">
        <v>652</v>
      </c>
      <c r="B185" s="337" t="s">
        <v>396</v>
      </c>
    </row>
    <row r="186" spans="1:2" ht="15" customHeight="1" x14ac:dyDescent="0.25">
      <c r="A186" s="338">
        <v>653</v>
      </c>
      <c r="B186" s="337" t="s">
        <v>256</v>
      </c>
    </row>
    <row r="187" spans="1:2" ht="30" customHeight="1" x14ac:dyDescent="0.25">
      <c r="A187" s="338">
        <v>660</v>
      </c>
      <c r="B187" s="337" t="s">
        <v>531</v>
      </c>
    </row>
    <row r="188" spans="1:2" ht="15" customHeight="1" x14ac:dyDescent="0.25">
      <c r="A188" s="338">
        <v>661</v>
      </c>
      <c r="B188" s="337" t="s">
        <v>394</v>
      </c>
    </row>
    <row r="189" spans="1:2" ht="15" customHeight="1" x14ac:dyDescent="0.25">
      <c r="A189" s="338">
        <v>690</v>
      </c>
      <c r="B189" s="337" t="s">
        <v>532</v>
      </c>
    </row>
    <row r="190" spans="1:2" ht="15" customHeight="1" x14ac:dyDescent="0.25">
      <c r="A190" s="338"/>
      <c r="B190" s="337"/>
    </row>
    <row r="191" spans="1:2" ht="120" customHeight="1" x14ac:dyDescent="0.25">
      <c r="A191" s="338">
        <v>900</v>
      </c>
      <c r="B191" s="337" t="s">
        <v>533</v>
      </c>
    </row>
    <row r="192" spans="1:2" ht="15" customHeight="1" x14ac:dyDescent="0.25">
      <c r="A192" s="338">
        <v>910</v>
      </c>
      <c r="B192" s="337" t="s">
        <v>534</v>
      </c>
    </row>
    <row r="193" spans="1:2" ht="80.099999999999994" customHeight="1" x14ac:dyDescent="0.25">
      <c r="A193" s="338">
        <v>911</v>
      </c>
      <c r="B193" s="337" t="s">
        <v>535</v>
      </c>
    </row>
    <row r="194" spans="1:2" ht="54.95" customHeight="1" x14ac:dyDescent="0.25">
      <c r="A194" s="338">
        <v>912</v>
      </c>
      <c r="B194" s="337" t="s">
        <v>536</v>
      </c>
    </row>
    <row r="195" spans="1:2" ht="15" customHeight="1" x14ac:dyDescent="0.25">
      <c r="A195" s="338">
        <v>920</v>
      </c>
      <c r="B195" s="337" t="s">
        <v>537</v>
      </c>
    </row>
    <row r="196" spans="1:2" ht="45" customHeight="1" x14ac:dyDescent="0.25">
      <c r="A196" s="338">
        <v>921</v>
      </c>
      <c r="B196" s="337" t="s">
        <v>538</v>
      </c>
    </row>
    <row r="197" spans="1:2" ht="30" customHeight="1" x14ac:dyDescent="0.25">
      <c r="A197" s="338">
        <v>922</v>
      </c>
      <c r="B197" s="337" t="s">
        <v>539</v>
      </c>
    </row>
    <row r="198" spans="1:2" ht="82.5" customHeight="1" x14ac:dyDescent="0.25">
      <c r="A198" s="338">
        <v>923</v>
      </c>
      <c r="B198" s="337" t="s">
        <v>540</v>
      </c>
    </row>
    <row r="199" spans="1:2" ht="80.099999999999994" customHeight="1" x14ac:dyDescent="0.25">
      <c r="A199" s="338">
        <v>924</v>
      </c>
      <c r="B199" s="337" t="s">
        <v>541</v>
      </c>
    </row>
    <row r="200" spans="1:2" ht="69.95" customHeight="1" x14ac:dyDescent="0.25">
      <c r="A200" s="338">
        <v>925</v>
      </c>
      <c r="B200" s="337" t="s">
        <v>542</v>
      </c>
    </row>
    <row r="201" spans="1:2" ht="69.95" customHeight="1" x14ac:dyDescent="0.25">
      <c r="A201" s="338">
        <v>926</v>
      </c>
      <c r="B201" s="337" t="s">
        <v>543</v>
      </c>
    </row>
    <row r="202" spans="1:2" ht="69.95" customHeight="1" x14ac:dyDescent="0.25">
      <c r="A202" s="338">
        <v>927</v>
      </c>
      <c r="B202" s="337" t="s">
        <v>544</v>
      </c>
    </row>
    <row r="203" spans="1:2" ht="69.95" customHeight="1" x14ac:dyDescent="0.25">
      <c r="A203" s="338">
        <v>928</v>
      </c>
      <c r="B203" s="337" t="s">
        <v>545</v>
      </c>
    </row>
    <row r="204" spans="1:2" ht="54.95" customHeight="1" x14ac:dyDescent="0.25">
      <c r="A204" s="338">
        <v>929</v>
      </c>
      <c r="B204" s="337" t="s">
        <v>546</v>
      </c>
    </row>
    <row r="205" spans="1:2" ht="54.95" customHeight="1" x14ac:dyDescent="0.25">
      <c r="A205" s="338">
        <v>930</v>
      </c>
      <c r="B205" s="337" t="s">
        <v>547</v>
      </c>
    </row>
    <row r="206" spans="1:2" ht="15" customHeight="1" x14ac:dyDescent="0.25">
      <c r="A206" s="338"/>
      <c r="B206" s="337"/>
    </row>
    <row r="207" spans="1:2" ht="15" customHeight="1" x14ac:dyDescent="0.25">
      <c r="A207" s="335"/>
      <c r="B207" s="350" t="s">
        <v>3</v>
      </c>
    </row>
    <row r="208" spans="1:2" ht="15" customHeight="1" x14ac:dyDescent="0.25">
      <c r="A208" s="335" t="s">
        <v>24</v>
      </c>
      <c r="B208" s="337" t="s">
        <v>276</v>
      </c>
    </row>
    <row r="209" spans="1:2" ht="15" customHeight="1" x14ac:dyDescent="0.25">
      <c r="A209" s="335" t="s">
        <v>259</v>
      </c>
      <c r="B209" s="337" t="s">
        <v>260</v>
      </c>
    </row>
    <row r="210" spans="1:2" ht="15" customHeight="1" x14ac:dyDescent="0.25">
      <c r="A210" s="335" t="s">
        <v>548</v>
      </c>
      <c r="B210" s="337" t="s">
        <v>264</v>
      </c>
    </row>
    <row r="211" spans="1:2" ht="15" customHeight="1" x14ac:dyDescent="0.25">
      <c r="A211" s="335" t="s">
        <v>549</v>
      </c>
      <c r="B211" s="337" t="s">
        <v>265</v>
      </c>
    </row>
    <row r="212" spans="1:2" ht="15" customHeight="1" x14ac:dyDescent="0.25">
      <c r="A212" s="335" t="s">
        <v>67</v>
      </c>
      <c r="B212" s="337" t="s">
        <v>261</v>
      </c>
    </row>
    <row r="213" spans="1:2" ht="15" customHeight="1" x14ac:dyDescent="0.25">
      <c r="A213" s="335" t="s">
        <v>42</v>
      </c>
      <c r="B213" s="337" t="s">
        <v>262</v>
      </c>
    </row>
    <row r="214" spans="1:2" ht="15" customHeight="1" x14ac:dyDescent="0.25">
      <c r="A214" s="335" t="s">
        <v>13</v>
      </c>
      <c r="B214" s="337" t="s">
        <v>263</v>
      </c>
    </row>
    <row r="215" spans="1:2" ht="15" customHeight="1" x14ac:dyDescent="0.25">
      <c r="A215" s="335"/>
      <c r="B215" s="337"/>
    </row>
    <row r="216" spans="1:2" ht="15" customHeight="1" x14ac:dyDescent="0.25">
      <c r="A216" s="335"/>
      <c r="B216" s="336" t="s">
        <v>40</v>
      </c>
    </row>
    <row r="217" spans="1:2" ht="15" customHeight="1" x14ac:dyDescent="0.25">
      <c r="A217" s="335" t="s">
        <v>266</v>
      </c>
      <c r="B217" s="337" t="s">
        <v>268</v>
      </c>
    </row>
    <row r="218" spans="1:2" ht="15" customHeight="1" x14ac:dyDescent="0.25">
      <c r="A218" s="335" t="s">
        <v>301</v>
      </c>
      <c r="B218" s="337" t="s">
        <v>269</v>
      </c>
    </row>
    <row r="219" spans="1:2" ht="15" customHeight="1" x14ac:dyDescent="0.25">
      <c r="A219" s="351" t="s">
        <v>267</v>
      </c>
      <c r="B219" s="352" t="s">
        <v>270</v>
      </c>
    </row>
    <row r="220" spans="1:2" hidden="1" x14ac:dyDescent="0.25">
      <c r="A220" s="353"/>
      <c r="B220" s="354"/>
    </row>
    <row r="221" spans="1:2" x14ac:dyDescent="0.25"/>
    <row r="222" spans="1:2" x14ac:dyDescent="0.25"/>
    <row r="223" spans="1:2" x14ac:dyDescent="0.25"/>
    <row r="224" spans="1:2" x14ac:dyDescent="0.25"/>
    <row r="225" x14ac:dyDescent="0.25"/>
    <row r="226" x14ac:dyDescent="0.25"/>
    <row r="227" x14ac:dyDescent="0.25"/>
    <row r="228" x14ac:dyDescent="0.25"/>
  </sheetData>
  <sheetProtection algorithmName="SHA-512" hashValue="Yo4lL/S7SxC0ky6rz5P39hSYf+gOujYDl5GPjdXCIcprumFRzbeGI6Eo6GYfB7bhdb3pTYyYVSvEncNkZyQNkg==" saltValue="d/dC+E9dOIvtjsTO5QjDCA==" spinCount="100000" sheet="1" objects="1" scenarios="1"/>
  <phoneticPr fontId="8" type="noConversion"/>
  <pageMargins left="0.78740157480314965" right="0.6692913385826772" top="1.1417322834645669" bottom="1.3385826771653544" header="0.51181102362204722" footer="0.51181102362204722"/>
  <pageSetup paperSize="9" fitToHeight="0" orientation="portrait" r:id="rId1"/>
  <headerFooter alignWithMargins="0">
    <oddHeader>&amp;L&amp;G&amp;R&amp;G</oddHeader>
    <oddFooter>&amp;L&amp;"Calibri,Standard"&amp;10&amp;F&amp;C&amp;"Calibri,Standard"&amp;10&amp;P / &amp;N &amp;R&amp;"Calibri,Standard"&amp;10&amp;D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Z120"/>
  <sheetViews>
    <sheetView topLeftCell="A37" zoomScale="70" zoomScaleNormal="70" zoomScalePageLayoutView="90" workbookViewId="0">
      <selection activeCell="D84" sqref="D84"/>
    </sheetView>
  </sheetViews>
  <sheetFormatPr baseColWidth="10" defaultColWidth="0" defaultRowHeight="12.75" zeroHeight="1" x14ac:dyDescent="0.2"/>
  <cols>
    <col min="1" max="1" width="3.85546875" style="103" customWidth="1"/>
    <col min="2" max="2" width="17.42578125" style="105" customWidth="1"/>
    <col min="3" max="3" width="46" style="264" bestFit="1" customWidth="1"/>
    <col min="4" max="4" width="13.28515625" style="264" customWidth="1"/>
    <col min="5" max="5" width="6.7109375" style="264" customWidth="1"/>
    <col min="6" max="6" width="6.7109375" style="105" customWidth="1"/>
    <col min="7" max="7" width="2.85546875" style="105" customWidth="1"/>
    <col min="8" max="8" width="1.140625" style="105" customWidth="1"/>
    <col min="9" max="9" width="5.140625" style="105" customWidth="1"/>
    <col min="10" max="10" width="7.7109375" style="105" customWidth="1"/>
    <col min="11" max="11" width="5.28515625" style="105" customWidth="1"/>
    <col min="12" max="12" width="2.85546875" style="105" customWidth="1"/>
    <col min="13" max="13" width="40.7109375" style="105" customWidth="1"/>
    <col min="14" max="14" width="5.28515625" style="105" customWidth="1"/>
    <col min="15" max="15" width="6.42578125" style="105" hidden="1" customWidth="1"/>
    <col min="16" max="16" width="6.85546875" style="105" hidden="1" customWidth="1"/>
    <col min="17" max="18" width="6.42578125" style="105" hidden="1" customWidth="1"/>
    <col min="19" max="19" width="7" style="105" hidden="1" customWidth="1"/>
    <col min="20" max="20" width="7.28515625" style="105" hidden="1" customWidth="1"/>
    <col min="21" max="26" width="0" style="105" hidden="1" customWidth="1"/>
    <col min="27" max="16384" width="10.85546875" style="105" hidden="1"/>
  </cols>
  <sheetData>
    <row r="1" spans="1:26" ht="17.100000000000001" customHeight="1" x14ac:dyDescent="0.25">
      <c r="A1" s="53">
        <v>100</v>
      </c>
      <c r="B1" s="364" t="s">
        <v>288</v>
      </c>
    </row>
    <row r="2" spans="1:26" ht="12.95" customHeight="1" x14ac:dyDescent="0.2">
      <c r="B2" s="265"/>
      <c r="E2" s="2"/>
      <c r="F2" s="1"/>
      <c r="G2" s="1"/>
      <c r="H2" s="1"/>
      <c r="I2" s="1"/>
      <c r="J2" s="1"/>
      <c r="K2" s="1"/>
      <c r="L2" s="1"/>
      <c r="N2" s="1"/>
    </row>
    <row r="3" spans="1:26" ht="12.95" customHeight="1" x14ac:dyDescent="0.2">
      <c r="A3" s="3">
        <v>101</v>
      </c>
      <c r="B3" s="103"/>
      <c r="C3" s="230" t="s">
        <v>4</v>
      </c>
      <c r="E3" s="2"/>
      <c r="F3" s="1"/>
      <c r="G3" s="1"/>
      <c r="H3" s="1"/>
      <c r="I3" s="1"/>
      <c r="J3" s="288"/>
      <c r="K3" s="1"/>
      <c r="L3" s="1"/>
      <c r="M3" s="265" t="s">
        <v>254</v>
      </c>
      <c r="N3" s="1"/>
    </row>
    <row r="4" spans="1:26" ht="12.95" customHeight="1" x14ac:dyDescent="0.2">
      <c r="A4" s="3">
        <v>102</v>
      </c>
      <c r="B4" s="103"/>
      <c r="C4" s="361" t="s">
        <v>110</v>
      </c>
      <c r="D4" s="289"/>
      <c r="E4" s="2"/>
      <c r="F4" s="1"/>
      <c r="G4" s="1"/>
      <c r="H4" s="1"/>
      <c r="I4" s="1"/>
      <c r="J4" s="288"/>
      <c r="K4" s="1"/>
      <c r="L4" s="1"/>
      <c r="N4" s="1"/>
    </row>
    <row r="5" spans="1:26" ht="12.95" customHeight="1" x14ac:dyDescent="0.2">
      <c r="A5" s="3">
        <v>105</v>
      </c>
      <c r="B5" s="103" t="s">
        <v>75</v>
      </c>
      <c r="E5" s="2"/>
      <c r="F5" s="1"/>
      <c r="G5" s="1"/>
      <c r="H5" s="1"/>
      <c r="I5" s="1"/>
      <c r="J5" s="1"/>
      <c r="K5" s="1"/>
      <c r="L5" s="1"/>
      <c r="N5" s="1"/>
    </row>
    <row r="6" spans="1:26" ht="12.95" customHeight="1" x14ac:dyDescent="0.2">
      <c r="A6" s="290"/>
      <c r="B6" s="265"/>
      <c r="E6" s="2"/>
      <c r="F6" s="1"/>
      <c r="G6" s="1"/>
      <c r="H6" s="1"/>
      <c r="I6" s="1"/>
      <c r="J6" s="1"/>
      <c r="K6" s="1"/>
      <c r="L6" s="1"/>
      <c r="N6" s="1"/>
    </row>
    <row r="7" spans="1:26" ht="12.95" customHeight="1" x14ac:dyDescent="0.2">
      <c r="A7" s="3">
        <v>106</v>
      </c>
      <c r="B7" s="265" t="s">
        <v>47</v>
      </c>
      <c r="C7" s="291" t="s">
        <v>556</v>
      </c>
      <c r="D7" s="68"/>
      <c r="E7" s="68"/>
      <c r="F7" s="68"/>
      <c r="G7" s="1"/>
      <c r="H7" s="1"/>
      <c r="I7" s="68"/>
      <c r="J7" s="68"/>
      <c r="K7" s="68"/>
      <c r="L7" s="1"/>
      <c r="M7" s="274"/>
      <c r="N7" s="1"/>
    </row>
    <row r="8" spans="1:26" ht="12.95" customHeight="1" x14ac:dyDescent="0.2">
      <c r="A8" s="290"/>
      <c r="B8" s="265"/>
      <c r="C8" s="274" t="s">
        <v>557</v>
      </c>
      <c r="D8" s="68"/>
      <c r="E8" s="68"/>
      <c r="F8" s="68"/>
      <c r="G8" s="1"/>
      <c r="H8" s="1"/>
      <c r="I8" s="68"/>
      <c r="J8" s="68"/>
      <c r="K8" s="68"/>
      <c r="L8" s="1"/>
      <c r="M8" s="274"/>
      <c r="N8" s="1"/>
    </row>
    <row r="9" spans="1:26" ht="12.95" customHeight="1" x14ac:dyDescent="0.2">
      <c r="A9" s="290"/>
      <c r="B9" s="265"/>
      <c r="C9" s="274" t="s">
        <v>558</v>
      </c>
      <c r="D9" s="68"/>
      <c r="E9" s="68"/>
      <c r="F9" s="68"/>
      <c r="G9" s="1"/>
      <c r="H9" s="1"/>
      <c r="I9" s="68"/>
      <c r="J9" s="68"/>
      <c r="K9" s="68"/>
      <c r="L9" s="1"/>
      <c r="M9" s="274"/>
      <c r="N9" s="1"/>
    </row>
    <row r="10" spans="1:26" ht="12.95" customHeight="1" x14ac:dyDescent="0.2">
      <c r="A10" s="290"/>
      <c r="B10" s="265"/>
      <c r="C10" s="68"/>
      <c r="D10" s="68"/>
      <c r="E10" s="68"/>
      <c r="F10" s="68"/>
      <c r="G10" s="1"/>
      <c r="H10" s="1"/>
      <c r="I10" s="68"/>
      <c r="J10" s="68"/>
      <c r="K10" s="68"/>
      <c r="L10" s="1"/>
      <c r="N10" s="1"/>
    </row>
    <row r="11" spans="1:26" ht="12.95" customHeight="1" x14ac:dyDescent="0.2">
      <c r="A11" s="3">
        <v>107</v>
      </c>
      <c r="B11" s="265" t="s">
        <v>48</v>
      </c>
      <c r="C11" s="291" t="s">
        <v>559</v>
      </c>
      <c r="D11" s="68"/>
      <c r="E11" s="68"/>
      <c r="F11" s="68"/>
      <c r="G11" s="1"/>
      <c r="H11" s="1"/>
      <c r="I11" s="68"/>
      <c r="J11" s="68"/>
      <c r="K11" s="68"/>
      <c r="L11" s="1"/>
      <c r="M11" s="274"/>
      <c r="N11" s="1"/>
    </row>
    <row r="12" spans="1:26" ht="12.95" customHeight="1" x14ac:dyDescent="0.2">
      <c r="A12" s="290"/>
      <c r="C12" s="103"/>
      <c r="D12" s="105"/>
      <c r="E12" s="1"/>
      <c r="F12" s="1"/>
      <c r="G12" s="1"/>
      <c r="H12" s="1"/>
      <c r="I12" s="1"/>
      <c r="J12" s="1"/>
      <c r="K12" s="1"/>
      <c r="L12" s="1"/>
      <c r="N12" s="1"/>
      <c r="O12" s="264"/>
      <c r="P12" s="264"/>
      <c r="Q12" s="264"/>
      <c r="R12" s="264"/>
      <c r="S12" s="264"/>
      <c r="T12" s="264"/>
      <c r="U12" s="264"/>
      <c r="V12" s="264"/>
      <c r="W12" s="264"/>
      <c r="X12" s="264"/>
      <c r="Y12" s="264"/>
      <c r="Z12" s="264"/>
    </row>
    <row r="13" spans="1:26" s="293" customFormat="1" ht="84" customHeight="1" x14ac:dyDescent="0.2">
      <c r="A13" s="3">
        <v>108</v>
      </c>
      <c r="B13" s="292" t="s">
        <v>319</v>
      </c>
      <c r="C13" s="292" t="str">
        <f>IF(S13&gt;10,"Mehr als 10 Hinweise!",IF(S13&gt;0,T13,""))</f>
        <v xml:space="preserve">158: Die Kosten für Planung und Unvorhergesehenes sind unter 5% der Investitionskosten. </v>
      </c>
      <c r="D13" s="292"/>
      <c r="E13" s="292"/>
      <c r="F13" s="292"/>
      <c r="I13" s="292"/>
      <c r="J13" s="292"/>
      <c r="K13" s="292"/>
      <c r="M13" s="274"/>
      <c r="O13" s="264"/>
      <c r="P13" s="264"/>
      <c r="Q13" s="264"/>
      <c r="R13" s="264"/>
      <c r="S13" s="264">
        <f>COUNTIF(Q16:S120,"&gt;0")</f>
        <v>1</v>
      </c>
      <c r="T13" s="294" t="str">
        <f>T16&amp;T24&amp;T34&amp;T47&amp;T62&amp;T74&amp;T68</f>
        <v xml:space="preserve">158: Die Kosten für Planung und Unvorhergesehenes sind unter 5% der Investitionskosten. </v>
      </c>
    </row>
    <row r="14" spans="1:26" ht="12.95" customHeight="1" x14ac:dyDescent="0.2">
      <c r="A14" s="290"/>
      <c r="C14" s="105"/>
      <c r="D14" s="105"/>
      <c r="E14" s="105"/>
      <c r="O14" s="264"/>
      <c r="P14" s="264"/>
      <c r="Q14" s="264"/>
      <c r="R14" s="264"/>
      <c r="S14" s="264"/>
      <c r="T14" s="264"/>
      <c r="U14" s="264"/>
      <c r="V14" s="264"/>
      <c r="W14" s="264"/>
      <c r="X14" s="264"/>
      <c r="Y14" s="264"/>
      <c r="Z14" s="264"/>
    </row>
    <row r="15" spans="1:26" s="265" customFormat="1" ht="12.95" customHeight="1" x14ac:dyDescent="0.2">
      <c r="A15" s="290"/>
      <c r="C15" s="295"/>
      <c r="D15" s="296"/>
      <c r="E15" s="276"/>
      <c r="F15" s="105"/>
      <c r="G15" s="105"/>
      <c r="H15" s="105"/>
      <c r="I15" s="105"/>
      <c r="J15" s="105"/>
      <c r="K15" s="105"/>
      <c r="L15" s="105"/>
      <c r="M15" s="105"/>
      <c r="N15" s="105"/>
      <c r="O15" s="264" t="s">
        <v>17</v>
      </c>
      <c r="P15" s="264" t="s">
        <v>18</v>
      </c>
      <c r="Q15" s="264" t="s">
        <v>22</v>
      </c>
      <c r="R15" s="264" t="s">
        <v>21</v>
      </c>
      <c r="S15" s="264" t="s">
        <v>37</v>
      </c>
      <c r="T15" s="264" t="s">
        <v>5</v>
      </c>
      <c r="U15" s="264" t="s">
        <v>34</v>
      </c>
      <c r="V15" s="264" t="s">
        <v>35</v>
      </c>
      <c r="W15" s="264" t="s">
        <v>36</v>
      </c>
      <c r="X15" s="297"/>
      <c r="Y15" s="297"/>
      <c r="Z15" s="297"/>
    </row>
    <row r="16" spans="1:26" ht="12.95" customHeight="1" x14ac:dyDescent="0.2">
      <c r="A16" s="3">
        <v>110</v>
      </c>
      <c r="B16" s="265" t="s">
        <v>148</v>
      </c>
      <c r="C16" s="276"/>
      <c r="D16" s="276"/>
      <c r="E16" s="276"/>
      <c r="O16" s="264"/>
      <c r="P16" s="264"/>
      <c r="Q16" s="264"/>
      <c r="R16" s="264"/>
      <c r="S16" s="264"/>
      <c r="T16" s="264" t="str">
        <f>T17&amp;T18&amp;T19&amp;T21&amp;T22</f>
        <v/>
      </c>
      <c r="U16" s="264"/>
      <c r="V16" s="264"/>
      <c r="W16" s="264"/>
      <c r="X16" s="264"/>
      <c r="Y16" s="264"/>
      <c r="Z16" s="264"/>
    </row>
    <row r="17" spans="1:26" s="103" customFormat="1" ht="12.95" customHeight="1" x14ac:dyDescent="0.2">
      <c r="A17" s="3">
        <v>111</v>
      </c>
      <c r="C17" s="298" t="s">
        <v>105</v>
      </c>
      <c r="D17" s="66">
        <f>SUM(E3_Verbraucher!D18:XFD18)</f>
        <v>1870</v>
      </c>
      <c r="E17" s="299" t="s">
        <v>14</v>
      </c>
      <c r="M17" s="274"/>
      <c r="O17" s="289">
        <v>10</v>
      </c>
      <c r="P17" s="289">
        <v>9999999999</v>
      </c>
      <c r="Q17" s="289">
        <f>IF($D17&lt;O17,1,0)</f>
        <v>0</v>
      </c>
      <c r="R17" s="289">
        <f>IF($D17&gt;P17,1,0)</f>
        <v>0</v>
      </c>
      <c r="S17" s="289">
        <v>0</v>
      </c>
      <c r="T17" s="289" t="str">
        <f>IF(Q17=1,U17,IF(R17=1,V17,IF(S17=1,W17,"")))</f>
        <v/>
      </c>
      <c r="U17" s="289" t="s">
        <v>403</v>
      </c>
      <c r="V17" s="289" t="s">
        <v>404</v>
      </c>
      <c r="W17" s="289"/>
      <c r="X17" s="289"/>
      <c r="Y17" s="289"/>
      <c r="Z17" s="289"/>
    </row>
    <row r="18" spans="1:26" ht="12.95" customHeight="1" x14ac:dyDescent="0.2">
      <c r="A18" s="3">
        <v>112</v>
      </c>
      <c r="C18" s="277" t="s">
        <v>106</v>
      </c>
      <c r="D18" s="365">
        <v>10</v>
      </c>
      <c r="E18" s="105" t="s">
        <v>13</v>
      </c>
      <c r="I18" s="103"/>
      <c r="M18" s="274"/>
      <c r="O18" s="264">
        <v>0</v>
      </c>
      <c r="P18" s="264">
        <v>20</v>
      </c>
      <c r="Q18" s="264">
        <f>IF($D18&lt;O18,1,0)</f>
        <v>0</v>
      </c>
      <c r="R18" s="264">
        <f>IF($D18&gt;P18,1,0)</f>
        <v>0</v>
      </c>
      <c r="S18" s="264">
        <f>IF(D18="",1,0)</f>
        <v>0</v>
      </c>
      <c r="T18" s="264" t="str">
        <f>IF(Q18&gt;0,U18,"")&amp;IF(R18&gt;0,V18,"")&amp;IF(S18&gt;0,W18,"")</f>
        <v/>
      </c>
      <c r="U18" s="289" t="s">
        <v>405</v>
      </c>
      <c r="V18" s="289" t="s">
        <v>406</v>
      </c>
      <c r="W18" s="289" t="s">
        <v>407</v>
      </c>
      <c r="X18" s="289"/>
      <c r="Y18" s="264"/>
      <c r="Z18" s="264"/>
    </row>
    <row r="19" spans="1:26" ht="12.95" customHeight="1" x14ac:dyDescent="0.2">
      <c r="A19" s="53">
        <v>113</v>
      </c>
      <c r="C19" s="277" t="s">
        <v>402</v>
      </c>
      <c r="D19" s="300">
        <v>1</v>
      </c>
      <c r="E19" s="105" t="s">
        <v>13</v>
      </c>
      <c r="I19" s="103"/>
      <c r="M19" s="274"/>
      <c r="O19" s="264">
        <v>0</v>
      </c>
      <c r="P19" s="264">
        <v>5</v>
      </c>
      <c r="Q19" s="264">
        <f>IF($D19&lt;O19,1,0)</f>
        <v>0</v>
      </c>
      <c r="R19" s="264">
        <f>IF($D19&gt;P19,1,0)</f>
        <v>0</v>
      </c>
      <c r="S19" s="264">
        <f>IF(D19="",1,0)</f>
        <v>0</v>
      </c>
      <c r="T19" s="264" t="str">
        <f>IF(Q19&gt;0,U19,"")&amp;IF(R19&gt;0,V19,"")&amp;IF(S19&gt;0,W19,"")</f>
        <v/>
      </c>
      <c r="U19" s="289" t="s">
        <v>408</v>
      </c>
      <c r="V19" s="289" t="s">
        <v>409</v>
      </c>
      <c r="W19" s="289" t="s">
        <v>410</v>
      </c>
      <c r="X19" s="289"/>
      <c r="Y19" s="264"/>
      <c r="Z19" s="264"/>
    </row>
    <row r="20" spans="1:26" ht="12.95" customHeight="1" x14ac:dyDescent="0.2">
      <c r="A20" s="290"/>
      <c r="C20" s="105"/>
      <c r="D20" s="105"/>
      <c r="E20" s="105"/>
      <c r="O20" s="264"/>
      <c r="P20" s="264"/>
      <c r="Q20" s="264"/>
      <c r="R20" s="264"/>
      <c r="S20" s="264"/>
      <c r="T20" s="264"/>
      <c r="U20" s="264"/>
      <c r="W20" s="264"/>
      <c r="X20" s="264"/>
      <c r="Y20" s="264"/>
      <c r="Z20" s="264"/>
    </row>
    <row r="21" spans="1:26" ht="12.95" customHeight="1" x14ac:dyDescent="0.2">
      <c r="A21" s="3">
        <v>114</v>
      </c>
      <c r="C21" s="277" t="s">
        <v>27</v>
      </c>
      <c r="D21" s="301">
        <v>2022</v>
      </c>
      <c r="E21" s="105"/>
      <c r="M21" s="274"/>
      <c r="O21" s="264">
        <v>2000</v>
      </c>
      <c r="P21" s="264">
        <v>2100</v>
      </c>
      <c r="Q21" s="264">
        <f>IF($D21&lt;O21,1,0)</f>
        <v>0</v>
      </c>
      <c r="R21" s="264">
        <f>IF($D21&gt;P21,1,0)</f>
        <v>0</v>
      </c>
      <c r="S21" s="264">
        <v>0</v>
      </c>
      <c r="T21" s="264" t="str">
        <f>IF(Q21&gt;0,U21,"")&amp;IF(R21&gt;0,V21,"")&amp;IF(S21&gt;0,W21,"")</f>
        <v/>
      </c>
      <c r="U21" s="264" t="s">
        <v>411</v>
      </c>
      <c r="V21" s="264" t="s">
        <v>412</v>
      </c>
      <c r="W21" s="264"/>
      <c r="X21" s="264"/>
      <c r="Y21" s="264"/>
      <c r="Z21" s="264"/>
    </row>
    <row r="22" spans="1:26" ht="12.95" customHeight="1" x14ac:dyDescent="0.2">
      <c r="A22" s="3">
        <v>115</v>
      </c>
      <c r="C22" s="277" t="s">
        <v>119</v>
      </c>
      <c r="D22" s="366">
        <f>MIN(E3_Verbraucher!D21:XFD21)</f>
        <v>2024</v>
      </c>
      <c r="E22" s="105"/>
      <c r="M22" s="274"/>
      <c r="O22" s="264">
        <f>Eing_Beginnjahr</f>
        <v>2022</v>
      </c>
      <c r="P22" s="264">
        <f>O22+3</f>
        <v>2025</v>
      </c>
      <c r="Q22" s="264">
        <f>IF($D22&lt;O22,D22,0)</f>
        <v>0</v>
      </c>
      <c r="R22" s="264">
        <f>IF($D22&gt;P22,1,0)</f>
        <v>0</v>
      </c>
      <c r="S22" s="264">
        <v>0</v>
      </c>
      <c r="T22" s="264" t="str">
        <f>IF(Q22&gt;0,U22,"")&amp;IF(R22&gt;0,V22,"")&amp;IF(S22&gt;0,W22,"")</f>
        <v/>
      </c>
      <c r="U22" s="264" t="s">
        <v>413</v>
      </c>
      <c r="V22" s="264" t="s">
        <v>414</v>
      </c>
      <c r="W22" s="264"/>
      <c r="X22" s="264"/>
      <c r="Y22" s="264"/>
      <c r="Z22" s="264"/>
    </row>
    <row r="23" spans="1:26" ht="12.95" customHeight="1" x14ac:dyDescent="0.2">
      <c r="A23" s="290"/>
      <c r="C23" s="277"/>
      <c r="D23" s="302"/>
      <c r="E23" s="105"/>
      <c r="O23" s="264"/>
      <c r="P23" s="264"/>
      <c r="Q23" s="264"/>
      <c r="R23" s="264"/>
      <c r="S23" s="264"/>
      <c r="T23" s="264"/>
      <c r="U23" s="264"/>
      <c r="V23" s="264"/>
      <c r="W23" s="264"/>
      <c r="X23" s="264"/>
      <c r="Y23" s="264"/>
      <c r="Z23" s="264"/>
    </row>
    <row r="24" spans="1:26" ht="12.95" customHeight="1" x14ac:dyDescent="0.2">
      <c r="A24" s="3">
        <v>120</v>
      </c>
      <c r="B24" s="265" t="s">
        <v>151</v>
      </c>
      <c r="C24" s="105"/>
      <c r="D24" s="303"/>
      <c r="E24" s="105"/>
      <c r="O24" s="264"/>
      <c r="P24" s="264"/>
      <c r="Q24" s="264"/>
      <c r="R24" s="264"/>
      <c r="S24" s="264"/>
      <c r="T24" s="264" t="str">
        <f>T25&amp;T26&amp;T28&amp;T31&amp;T32&amp;T29</f>
        <v/>
      </c>
      <c r="U24" s="264"/>
      <c r="V24" s="264"/>
      <c r="W24" s="264"/>
      <c r="X24" s="264"/>
      <c r="Y24" s="264"/>
      <c r="Z24" s="264"/>
    </row>
    <row r="25" spans="1:26" ht="12.95" customHeight="1" x14ac:dyDescent="0.2">
      <c r="A25" s="3">
        <v>121</v>
      </c>
      <c r="C25" s="277" t="s">
        <v>73</v>
      </c>
      <c r="D25" s="300">
        <v>55</v>
      </c>
      <c r="E25" s="105" t="s">
        <v>44</v>
      </c>
      <c r="M25" s="274"/>
      <c r="O25" s="264">
        <v>0</v>
      </c>
      <c r="P25" s="264">
        <v>100</v>
      </c>
      <c r="Q25" s="264">
        <f>IF($D25&lt;O25,1,0)</f>
        <v>0</v>
      </c>
      <c r="R25" s="264">
        <f>IF($D25&gt;P25,1,0)</f>
        <v>0</v>
      </c>
      <c r="S25" s="264">
        <v>0</v>
      </c>
      <c r="T25" s="264" t="str">
        <f>IF(Q25&gt;0,U25,"")&amp;IF(R25&gt;0,V25,"")&amp;IF(S25&gt;0,W25,"")</f>
        <v/>
      </c>
      <c r="U25" s="264" t="s">
        <v>415</v>
      </c>
      <c r="V25" s="264" t="s">
        <v>416</v>
      </c>
      <c r="W25" s="264"/>
      <c r="X25" s="264"/>
      <c r="Y25" s="264"/>
      <c r="Z25" s="264"/>
    </row>
    <row r="26" spans="1:26" ht="12.95" customHeight="1" x14ac:dyDescent="0.2">
      <c r="A26" s="3">
        <v>122</v>
      </c>
      <c r="C26" s="277" t="s">
        <v>153</v>
      </c>
      <c r="D26" s="304">
        <v>85</v>
      </c>
      <c r="E26" s="105" t="s">
        <v>13</v>
      </c>
      <c r="M26" s="274"/>
      <c r="O26" s="264">
        <v>70</v>
      </c>
      <c r="P26" s="264">
        <v>100</v>
      </c>
      <c r="Q26" s="264">
        <f>IF($D26&lt;O26,1,0)</f>
        <v>0</v>
      </c>
      <c r="R26" s="264">
        <f>IF($D26&gt;P26,1,0)</f>
        <v>0</v>
      </c>
      <c r="S26" s="264">
        <v>0</v>
      </c>
      <c r="T26" s="264" t="str">
        <f>IF(Q26&gt;0,U26,"")&amp;IF(R26&gt;0,V26,"")&amp;IF(S26&gt;0,W26,"")</f>
        <v/>
      </c>
      <c r="U26" s="264" t="s">
        <v>417</v>
      </c>
      <c r="V26" s="264" t="s">
        <v>418</v>
      </c>
      <c r="W26" s="264"/>
      <c r="X26" s="264"/>
      <c r="Y26" s="264"/>
      <c r="Z26" s="264"/>
    </row>
    <row r="27" spans="1:26" ht="12.95" customHeight="1" x14ac:dyDescent="0.2">
      <c r="A27" s="3">
        <v>123</v>
      </c>
      <c r="C27" s="277" t="s">
        <v>154</v>
      </c>
      <c r="D27" s="66">
        <f>100-Eing_Anteil_Biomasse</f>
        <v>15</v>
      </c>
      <c r="E27" s="105" t="s">
        <v>13</v>
      </c>
      <c r="M27" s="274"/>
      <c r="O27" s="264"/>
      <c r="P27" s="264"/>
      <c r="Q27" s="264"/>
      <c r="R27" s="264"/>
      <c r="S27" s="264"/>
      <c r="T27" s="264"/>
      <c r="U27" s="264"/>
      <c r="V27" s="264"/>
      <c r="W27" s="264"/>
      <c r="X27" s="264"/>
      <c r="Y27" s="264"/>
      <c r="Z27" s="264"/>
    </row>
    <row r="28" spans="1:26" ht="12.95" customHeight="1" x14ac:dyDescent="0.2">
      <c r="A28" s="3">
        <v>124</v>
      </c>
      <c r="C28" s="277" t="s">
        <v>15</v>
      </c>
      <c r="D28" s="300">
        <v>85</v>
      </c>
      <c r="E28" s="105" t="s">
        <v>104</v>
      </c>
      <c r="M28" s="274"/>
      <c r="O28" s="264">
        <v>30</v>
      </c>
      <c r="P28" s="264">
        <v>300</v>
      </c>
      <c r="Q28" s="264">
        <f>IF(Anteil_fossil_erzeugt=0,0,IF($D28&lt;O28,1,0))</f>
        <v>0</v>
      </c>
      <c r="R28" s="264">
        <f>IF(Anteil_fossil_erzeugt=0,0,IF($D28&gt;P28,1,0))</f>
        <v>0</v>
      </c>
      <c r="S28" s="264">
        <f>IF(Anteil_fossil_erzeugt=0,0,IF(Eing_Rohstoffpreis_fossil&lt;Eing_Rohstoffpreis_Biomasse,1,0))</f>
        <v>0</v>
      </c>
      <c r="T28" s="264" t="str">
        <f>IF(Q28&gt;0,U28,"")&amp;IF(R28&gt;0,V28,"")&amp;IF(S28&gt;0,W28,"")</f>
        <v/>
      </c>
      <c r="U28" s="264" t="s">
        <v>419</v>
      </c>
      <c r="V28" s="264" t="s">
        <v>420</v>
      </c>
      <c r="W28" s="264" t="s">
        <v>421</v>
      </c>
      <c r="X28" s="264"/>
      <c r="Y28" s="264"/>
      <c r="Z28" s="264"/>
    </row>
    <row r="29" spans="1:26" ht="12.95" customHeight="1" x14ac:dyDescent="0.2">
      <c r="A29" s="3">
        <v>125</v>
      </c>
      <c r="C29" s="277" t="s">
        <v>85</v>
      </c>
      <c r="D29" s="304">
        <v>85</v>
      </c>
      <c r="E29" s="105" t="s">
        <v>13</v>
      </c>
      <c r="M29" s="274"/>
      <c r="O29" s="264">
        <v>40</v>
      </c>
      <c r="P29" s="264">
        <v>98</v>
      </c>
      <c r="Q29" s="289">
        <f>IF(Anteil_fossil_erzeugt=0,0,IF($D29&lt;O29,1,0))</f>
        <v>0</v>
      </c>
      <c r="R29" s="289">
        <f>IF(Anteil_fossil_erzeugt=0,0,IF($D29&gt;P29,1,0))</f>
        <v>0</v>
      </c>
      <c r="S29" s="264">
        <f>IF(Anteil_fossil_erzeugt=0,0,IF(D29="",1,0))</f>
        <v>0</v>
      </c>
      <c r="T29" s="264" t="str">
        <f>IF(Q29&gt;0,U29,"")&amp;IF(R29&gt;0,V29,"")&amp;IF(S29&gt;0,W29,"")</f>
        <v/>
      </c>
      <c r="U29" s="264" t="s">
        <v>422</v>
      </c>
      <c r="V29" s="264" t="s">
        <v>423</v>
      </c>
      <c r="W29" s="264"/>
      <c r="X29" s="264"/>
      <c r="Y29" s="264"/>
      <c r="Z29" s="264"/>
    </row>
    <row r="30" spans="1:26" ht="12.95" customHeight="1" x14ac:dyDescent="0.2">
      <c r="A30" s="290"/>
      <c r="C30" s="105"/>
      <c r="D30" s="303"/>
      <c r="E30" s="105"/>
      <c r="O30" s="264"/>
      <c r="P30" s="264"/>
      <c r="Q30" s="264"/>
      <c r="R30" s="264"/>
      <c r="S30" s="264"/>
      <c r="T30" s="264"/>
      <c r="U30" s="264"/>
      <c r="V30" s="264"/>
      <c r="W30" s="264"/>
      <c r="X30" s="264"/>
      <c r="Y30" s="264"/>
      <c r="Z30" s="264"/>
    </row>
    <row r="31" spans="1:26" ht="12.95" customHeight="1" x14ac:dyDescent="0.2">
      <c r="A31" s="3">
        <v>126</v>
      </c>
      <c r="C31" s="305" t="s">
        <v>76</v>
      </c>
      <c r="D31" s="365">
        <v>2</v>
      </c>
      <c r="E31" s="105" t="s">
        <v>77</v>
      </c>
      <c r="M31" s="274"/>
      <c r="O31" s="264">
        <v>1</v>
      </c>
      <c r="P31" s="264">
        <v>3</v>
      </c>
      <c r="Q31" s="264">
        <f>IF($D31&lt;O31,1,0)</f>
        <v>0</v>
      </c>
      <c r="R31" s="264">
        <f>IF($D31&gt;P31,1,0)</f>
        <v>0</v>
      </c>
      <c r="S31" s="264">
        <f>IF(Eing_Spez_Stromverbrauch=0,1,0)</f>
        <v>0</v>
      </c>
      <c r="T31" s="264" t="str">
        <f>IF(Q31&gt;0,U31,"")&amp;IF(R31&gt;0,V31,"")&amp;IF(S31&gt;0,W31,"")</f>
        <v/>
      </c>
      <c r="U31" s="264" t="s">
        <v>424</v>
      </c>
      <c r="V31" s="264" t="s">
        <v>425</v>
      </c>
      <c r="W31" s="264" t="s">
        <v>426</v>
      </c>
      <c r="X31" s="264"/>
      <c r="Y31" s="264"/>
      <c r="Z31" s="264"/>
    </row>
    <row r="32" spans="1:26" ht="12.95" customHeight="1" x14ac:dyDescent="0.2">
      <c r="A32" s="3">
        <v>127</v>
      </c>
      <c r="C32" s="277" t="s">
        <v>16</v>
      </c>
      <c r="D32" s="306">
        <v>0.15</v>
      </c>
      <c r="E32" s="105" t="s">
        <v>45</v>
      </c>
      <c r="M32" s="274"/>
      <c r="O32" s="264">
        <v>0.02</v>
      </c>
      <c r="P32" s="264">
        <v>0.8</v>
      </c>
      <c r="Q32" s="264">
        <f>IF($D32&lt;O32,1,0)</f>
        <v>0</v>
      </c>
      <c r="R32" s="264">
        <f>IF($D32&gt;P32,1,0)</f>
        <v>0</v>
      </c>
      <c r="S32" s="264">
        <f>IF(Eing_Strompreis=0,1,0)</f>
        <v>0</v>
      </c>
      <c r="T32" s="264" t="str">
        <f>IF(Q32&gt;0,U32,"")&amp;IF(R32&gt;0,V32,"")&amp;IF(S32&gt;0,W32,"")</f>
        <v/>
      </c>
      <c r="U32" s="264" t="s">
        <v>427</v>
      </c>
      <c r="V32" s="264" t="s">
        <v>428</v>
      </c>
      <c r="W32" s="264" t="s">
        <v>429</v>
      </c>
      <c r="X32" s="264"/>
      <c r="Y32" s="264"/>
      <c r="Z32" s="264"/>
    </row>
    <row r="33" spans="1:26" ht="12.95" customHeight="1" x14ac:dyDescent="0.2">
      <c r="A33" s="290"/>
      <c r="C33" s="105"/>
      <c r="D33" s="105"/>
      <c r="E33" s="105"/>
      <c r="O33" s="264"/>
      <c r="P33" s="264"/>
      <c r="Q33" s="264"/>
      <c r="R33" s="264"/>
      <c r="S33" s="264"/>
      <c r="T33" s="264"/>
      <c r="U33" s="264"/>
      <c r="V33" s="264"/>
      <c r="W33" s="264"/>
      <c r="X33" s="264"/>
      <c r="Y33" s="264"/>
      <c r="Z33" s="264"/>
    </row>
    <row r="34" spans="1:26" ht="12.95" customHeight="1" x14ac:dyDescent="0.2">
      <c r="A34" s="290"/>
      <c r="C34" s="105"/>
      <c r="D34" s="105"/>
      <c r="E34" s="105"/>
      <c r="O34" s="264"/>
      <c r="P34" s="264"/>
      <c r="Q34" s="264"/>
      <c r="R34" s="264"/>
      <c r="S34" s="264"/>
      <c r="T34" s="264" t="str">
        <f>T35&amp;T36&amp;T37&amp;T39&amp;T40&amp;T41</f>
        <v/>
      </c>
      <c r="U34" s="264"/>
      <c r="V34" s="264"/>
      <c r="W34" s="264"/>
      <c r="X34" s="264"/>
      <c r="Y34" s="264"/>
      <c r="Z34" s="264"/>
    </row>
    <row r="35" spans="1:26" ht="12.95" customHeight="1" x14ac:dyDescent="0.2">
      <c r="A35" s="3">
        <v>130</v>
      </c>
      <c r="C35" s="305" t="s">
        <v>502</v>
      </c>
      <c r="D35" s="365">
        <f>ROUND(1.5%*SUM(D49:D51),-2)</f>
        <v>6000</v>
      </c>
      <c r="E35" s="105" t="s">
        <v>43</v>
      </c>
      <c r="I35" s="103"/>
      <c r="M35" s="274"/>
      <c r="O35" s="264">
        <v>1000</v>
      </c>
      <c r="P35" s="264">
        <f>5%*SUM(D49:D51)</f>
        <v>20000</v>
      </c>
      <c r="Q35" s="264">
        <f t="shared" ref="Q35:Q37" si="0">IF($D35&lt;O35,1,0)</f>
        <v>0</v>
      </c>
      <c r="R35" s="264">
        <f t="shared" ref="R35:R37" si="1">IF($D35&gt;P35,1,0)</f>
        <v>0</v>
      </c>
      <c r="S35" s="264">
        <v>0</v>
      </c>
      <c r="T35" s="264" t="str">
        <f>IF(Q35&gt;0,U35,"")&amp;IF(R35&gt;0,V35,"")&amp;IF(S35&gt;0,W35,"")</f>
        <v/>
      </c>
      <c r="U35" s="289" t="s">
        <v>505</v>
      </c>
      <c r="V35" s="289" t="s">
        <v>508</v>
      </c>
      <c r="W35" s="264"/>
      <c r="X35" s="264"/>
      <c r="Y35" s="264"/>
      <c r="Z35" s="264"/>
    </row>
    <row r="36" spans="1:26" ht="12.95" customHeight="1" x14ac:dyDescent="0.2">
      <c r="A36" s="3">
        <v>131</v>
      </c>
      <c r="C36" s="305" t="s">
        <v>503</v>
      </c>
      <c r="D36" s="304">
        <v>12000</v>
      </c>
      <c r="E36" s="105" t="s">
        <v>43</v>
      </c>
      <c r="I36" s="103"/>
      <c r="M36" s="274"/>
      <c r="O36" s="264">
        <v>1000</v>
      </c>
      <c r="P36" s="264">
        <v>999999</v>
      </c>
      <c r="Q36" s="264">
        <f t="shared" si="0"/>
        <v>0</v>
      </c>
      <c r="R36" s="264">
        <f t="shared" si="1"/>
        <v>0</v>
      </c>
      <c r="S36" s="264">
        <v>0</v>
      </c>
      <c r="T36" s="264" t="str">
        <f>IF(Q36&gt;0,U36,"")&amp;IF(R36&gt;0,V36,"")&amp;IF(S36&gt;0,W36,"")</f>
        <v/>
      </c>
      <c r="U36" s="289" t="s">
        <v>506</v>
      </c>
      <c r="V36" s="289" t="s">
        <v>507</v>
      </c>
      <c r="W36" s="264"/>
      <c r="X36" s="264"/>
      <c r="Y36" s="264"/>
      <c r="Z36" s="264"/>
    </row>
    <row r="37" spans="1:26" ht="12.95" customHeight="1" x14ac:dyDescent="0.2">
      <c r="A37" s="3">
        <v>132</v>
      </c>
      <c r="C37" s="305" t="s">
        <v>98</v>
      </c>
      <c r="D37" s="365">
        <f>SUMPRODUCT(D48:D55,F48:F55)/100</f>
        <v>23900</v>
      </c>
      <c r="E37" s="105" t="s">
        <v>43</v>
      </c>
      <c r="I37" s="103"/>
      <c r="J37" s="103"/>
      <c r="M37" s="274"/>
      <c r="O37" s="264">
        <v>1000</v>
      </c>
      <c r="P37" s="264">
        <f>10%*Gesamtinvestition</f>
        <v>163500</v>
      </c>
      <c r="Q37" s="264">
        <f t="shared" si="0"/>
        <v>0</v>
      </c>
      <c r="R37" s="264">
        <f t="shared" si="1"/>
        <v>0</v>
      </c>
      <c r="S37" s="264">
        <v>0</v>
      </c>
      <c r="T37" s="264" t="str">
        <f>IF(Q37&gt;0,U37,"")&amp;IF(R37&gt;0,V37,"")&amp;IF(S37&gt;0,W37,"")</f>
        <v/>
      </c>
      <c r="U37" s="289" t="s">
        <v>430</v>
      </c>
      <c r="V37" s="289" t="s">
        <v>431</v>
      </c>
      <c r="W37" s="264"/>
      <c r="X37" s="264"/>
      <c r="Y37" s="264"/>
      <c r="Z37" s="264"/>
    </row>
    <row r="38" spans="1:26" ht="12.95" customHeight="1" x14ac:dyDescent="0.2">
      <c r="A38" s="290"/>
      <c r="C38" s="305"/>
      <c r="D38" s="303"/>
      <c r="E38" s="105"/>
      <c r="O38" s="264"/>
      <c r="P38" s="264"/>
      <c r="Q38" s="264"/>
      <c r="R38" s="264"/>
      <c r="S38" s="264"/>
      <c r="T38" s="264"/>
      <c r="U38" s="264"/>
      <c r="V38" s="264"/>
      <c r="W38" s="264"/>
      <c r="X38" s="264"/>
      <c r="Y38" s="264"/>
      <c r="Z38" s="264"/>
    </row>
    <row r="39" spans="1:26" ht="12.95" customHeight="1" x14ac:dyDescent="0.2">
      <c r="A39" s="3">
        <v>135</v>
      </c>
      <c r="C39" s="277" t="s">
        <v>31</v>
      </c>
      <c r="D39" s="304">
        <v>1000</v>
      </c>
      <c r="E39" s="105" t="s">
        <v>43</v>
      </c>
      <c r="M39" s="274"/>
      <c r="O39" s="264">
        <v>1000</v>
      </c>
      <c r="P39" s="264">
        <f>Gesamtinvestition/20</f>
        <v>81750</v>
      </c>
      <c r="Q39" s="264">
        <f>IF($D39&lt;O39,1,0)</f>
        <v>0</v>
      </c>
      <c r="R39" s="264">
        <f>IF($D39&gt;P39,1,0)</f>
        <v>0</v>
      </c>
      <c r="S39" s="264">
        <v>0</v>
      </c>
      <c r="T39" s="264" t="str">
        <f>IF(Q39&gt;0,U39,"")&amp;IF(R39&gt;0,V39,"")&amp;IF(S39&gt;0,W39,"")</f>
        <v/>
      </c>
      <c r="U39" s="264" t="s">
        <v>432</v>
      </c>
      <c r="V39" s="264" t="s">
        <v>436</v>
      </c>
      <c r="W39" s="264"/>
      <c r="X39" s="264"/>
      <c r="Y39" s="264"/>
      <c r="Z39" s="264"/>
    </row>
    <row r="40" spans="1:26" ht="12.95" customHeight="1" x14ac:dyDescent="0.2">
      <c r="A40" s="3">
        <v>136</v>
      </c>
      <c r="C40" s="305" t="s">
        <v>504</v>
      </c>
      <c r="D40" s="365">
        <f>ROUND(1%*Gesamtinvestition,-2)</f>
        <v>16400</v>
      </c>
      <c r="E40" s="105" t="s">
        <v>43</v>
      </c>
      <c r="M40" s="274"/>
      <c r="O40" s="264">
        <v>1000</v>
      </c>
      <c r="P40" s="264">
        <f>5%*Gesamtinvestition</f>
        <v>81750</v>
      </c>
      <c r="Q40" s="264">
        <f>IF($D40&lt;O40,1,0)</f>
        <v>0</v>
      </c>
      <c r="R40" s="264">
        <f>IF($D40&gt;P40,1,0)</f>
        <v>0</v>
      </c>
      <c r="S40" s="264">
        <v>0</v>
      </c>
      <c r="T40" s="264" t="str">
        <f>IF(Q40&gt;0,U40,"")&amp;IF(R40&gt;0,V40,"")&amp;IF(S40&gt;0,W40,"")</f>
        <v/>
      </c>
      <c r="U40" s="264" t="s">
        <v>435</v>
      </c>
      <c r="V40" s="264" t="s">
        <v>434</v>
      </c>
      <c r="W40" s="264" t="s">
        <v>433</v>
      </c>
      <c r="X40" s="264"/>
      <c r="Y40" s="264"/>
      <c r="Z40" s="264"/>
    </row>
    <row r="41" spans="1:26" ht="12.95" customHeight="1" x14ac:dyDescent="0.2">
      <c r="A41" s="3">
        <v>137</v>
      </c>
      <c r="C41" s="305" t="s">
        <v>82</v>
      </c>
      <c r="D41" s="300">
        <v>1</v>
      </c>
      <c r="E41" s="105" t="s">
        <v>13</v>
      </c>
      <c r="M41" s="274"/>
      <c r="O41" s="264">
        <v>0</v>
      </c>
      <c r="P41" s="264">
        <v>5</v>
      </c>
      <c r="Q41" s="264">
        <f>IF($D41&lt;O41,1,0)</f>
        <v>0</v>
      </c>
      <c r="R41" s="264">
        <f>IF($D41&gt;P41,1,0)</f>
        <v>0</v>
      </c>
      <c r="S41" s="264">
        <v>0</v>
      </c>
      <c r="T41" s="264" t="str">
        <f>IF(Q41&gt;0,U41,"")&amp;IF(R41&gt;0,V41,"")&amp;IF(S41&gt;0,W41,"")</f>
        <v/>
      </c>
      <c r="U41" s="264" t="s">
        <v>437</v>
      </c>
      <c r="V41" s="264" t="s">
        <v>438</v>
      </c>
      <c r="W41" s="264"/>
      <c r="X41" s="264"/>
      <c r="Y41" s="264"/>
      <c r="Z41" s="264"/>
    </row>
    <row r="42" spans="1:26" ht="12.95" customHeight="1" x14ac:dyDescent="0.2">
      <c r="A42" s="3">
        <v>138</v>
      </c>
      <c r="C42" s="305" t="s">
        <v>480</v>
      </c>
      <c r="D42" s="300">
        <v>3</v>
      </c>
      <c r="E42" s="105" t="s">
        <v>13</v>
      </c>
      <c r="M42" s="274"/>
      <c r="O42" s="264">
        <v>0</v>
      </c>
      <c r="P42" s="264">
        <v>10</v>
      </c>
      <c r="Q42" s="264">
        <f>IF($D42&lt;O42,1,0)</f>
        <v>0</v>
      </c>
      <c r="R42" s="264">
        <f>IF($D42&gt;P42,1,0)</f>
        <v>0</v>
      </c>
      <c r="S42" s="264">
        <v>0</v>
      </c>
      <c r="T42" s="264" t="str">
        <f t="shared" ref="T42:T43" si="2">IF(Q42&gt;0,U42,"")&amp;IF(R42&gt;0,V42,"")&amp;IF(S42&gt;0,W42,"")</f>
        <v/>
      </c>
      <c r="U42" s="264" t="s">
        <v>488</v>
      </c>
      <c r="V42" s="264" t="s">
        <v>487</v>
      </c>
      <c r="W42" s="264"/>
      <c r="X42" s="264"/>
      <c r="Y42" s="264"/>
      <c r="Z42" s="264"/>
    </row>
    <row r="43" spans="1:26" ht="12.95" customHeight="1" x14ac:dyDescent="0.2">
      <c r="A43" s="3">
        <v>139</v>
      </c>
      <c r="C43" s="305" t="s">
        <v>481</v>
      </c>
      <c r="D43" s="367">
        <f>Eing_Nominalzins-Eing_allg_Teuerung</f>
        <v>2</v>
      </c>
      <c r="E43" s="105" t="s">
        <v>13</v>
      </c>
      <c r="M43" s="274"/>
      <c r="O43" s="264">
        <v>0</v>
      </c>
      <c r="P43" s="264">
        <v>8</v>
      </c>
      <c r="Q43" s="264">
        <f t="shared" ref="Q43" si="3">IF($D43&lt;O43,1,0)</f>
        <v>0</v>
      </c>
      <c r="R43" s="264">
        <f t="shared" ref="R43" si="4">IF($D43&gt;P43,1,0)</f>
        <v>0</v>
      </c>
      <c r="S43" s="264">
        <v>0</v>
      </c>
      <c r="T43" s="264" t="str">
        <f t="shared" si="2"/>
        <v/>
      </c>
      <c r="U43" s="264" t="s">
        <v>490</v>
      </c>
      <c r="V43" s="264" t="s">
        <v>489</v>
      </c>
      <c r="W43" s="264"/>
      <c r="X43" s="264"/>
      <c r="Y43" s="264"/>
      <c r="Z43" s="264"/>
    </row>
    <row r="44" spans="1:26" ht="12.95" customHeight="1" x14ac:dyDescent="0.2">
      <c r="A44" s="290"/>
      <c r="C44" s="305"/>
      <c r="D44" s="307"/>
      <c r="E44" s="105"/>
      <c r="O44" s="264"/>
      <c r="P44" s="264"/>
      <c r="Q44" s="264"/>
      <c r="R44" s="264"/>
      <c r="S44" s="264"/>
      <c r="T44" s="264"/>
      <c r="U44" s="264"/>
      <c r="V44" s="264"/>
      <c r="W44" s="264"/>
      <c r="X44" s="264"/>
      <c r="Y44" s="264"/>
      <c r="Z44" s="264"/>
    </row>
    <row r="45" spans="1:26" ht="12.95" customHeight="1" x14ac:dyDescent="0.2">
      <c r="A45" s="3">
        <v>140</v>
      </c>
      <c r="B45" s="265" t="s">
        <v>161</v>
      </c>
      <c r="C45" s="305"/>
      <c r="D45" s="3">
        <v>141</v>
      </c>
      <c r="E45" s="105"/>
      <c r="F45" s="3">
        <v>142</v>
      </c>
      <c r="G45" s="3"/>
      <c r="I45" s="3">
        <v>143</v>
      </c>
      <c r="K45" s="3"/>
      <c r="M45" s="3"/>
      <c r="O45" s="264"/>
      <c r="P45" s="264"/>
      <c r="Q45" s="264"/>
      <c r="R45" s="264"/>
      <c r="S45" s="264"/>
      <c r="T45" s="264"/>
      <c r="U45" s="264"/>
      <c r="V45" s="264"/>
      <c r="W45" s="264"/>
      <c r="X45" s="264"/>
      <c r="Y45" s="264"/>
      <c r="Z45" s="264"/>
    </row>
    <row r="46" spans="1:26" ht="12.95" customHeight="1" x14ac:dyDescent="0.2">
      <c r="A46" s="290"/>
      <c r="B46" s="265"/>
      <c r="C46" s="305"/>
      <c r="D46" s="105"/>
      <c r="E46" s="105"/>
      <c r="F46" s="308"/>
      <c r="G46" s="308" t="s">
        <v>107</v>
      </c>
      <c r="I46" s="309" t="s">
        <v>108</v>
      </c>
      <c r="J46" s="310"/>
      <c r="K46" s="311"/>
      <c r="L46" s="308"/>
      <c r="M46" s="312"/>
      <c r="N46" s="313"/>
      <c r="O46" s="264"/>
      <c r="P46" s="264"/>
      <c r="Q46" s="264"/>
      <c r="R46" s="264"/>
      <c r="S46" s="264"/>
      <c r="T46" s="264"/>
      <c r="U46" s="264"/>
      <c r="V46" s="264"/>
      <c r="W46" s="264"/>
      <c r="X46" s="264"/>
      <c r="Y46" s="264"/>
      <c r="Z46" s="264"/>
    </row>
    <row r="47" spans="1:26" ht="12.95" customHeight="1" x14ac:dyDescent="0.2">
      <c r="A47" s="3">
        <v>150</v>
      </c>
      <c r="B47" s="265" t="s">
        <v>20</v>
      </c>
      <c r="C47" s="314" t="s">
        <v>282</v>
      </c>
      <c r="D47" s="105"/>
      <c r="E47" s="105"/>
      <c r="F47" s="103"/>
      <c r="G47" s="308" t="s">
        <v>98</v>
      </c>
      <c r="I47" s="309" t="s">
        <v>109</v>
      </c>
      <c r="K47" s="311"/>
      <c r="L47" s="308"/>
      <c r="N47" s="310"/>
      <c r="O47" s="264"/>
      <c r="P47" s="264"/>
      <c r="Q47" s="264"/>
      <c r="R47" s="264"/>
      <c r="S47" s="264"/>
      <c r="T47" s="264" t="str">
        <f>T48&amp;T51&amp;T52&amp;T54&amp;T55&amp;T56&amp;T49&amp;T50&amp;T53</f>
        <v xml:space="preserve">158: Die Kosten für Planung und Unvorhergesehenes sind unter 5% der Investitionskosten. </v>
      </c>
      <c r="U47" s="264"/>
      <c r="V47" s="264"/>
      <c r="W47" s="264"/>
      <c r="X47" s="264"/>
      <c r="Y47" s="264"/>
      <c r="Z47" s="264"/>
    </row>
    <row r="48" spans="1:26" ht="12.95" customHeight="1" x14ac:dyDescent="0.2">
      <c r="A48" s="3">
        <v>151</v>
      </c>
      <c r="C48" s="315" t="s">
        <v>78</v>
      </c>
      <c r="D48" s="316">
        <v>500000</v>
      </c>
      <c r="E48" s="105" t="s">
        <v>42</v>
      </c>
      <c r="F48" s="368">
        <v>1</v>
      </c>
      <c r="G48" s="105" t="s">
        <v>13</v>
      </c>
      <c r="I48" s="368">
        <v>50</v>
      </c>
      <c r="J48" s="105" t="s">
        <v>19</v>
      </c>
      <c r="K48" s="317"/>
      <c r="M48" s="274"/>
      <c r="O48" s="264">
        <v>10000</v>
      </c>
      <c r="P48" s="264">
        <v>999999999</v>
      </c>
      <c r="Q48" s="264">
        <f t="shared" ref="Q48:Q49" si="5">IF($D48&lt;O48,1,0)</f>
        <v>0</v>
      </c>
      <c r="R48" s="264">
        <f t="shared" ref="R48:R56" si="6">IF($D48&gt;P48,1,0)</f>
        <v>0</v>
      </c>
      <c r="S48" s="264">
        <v>0</v>
      </c>
      <c r="T48" s="264" t="str">
        <f t="shared" ref="T48:T56" si="7">IF(Q48&gt;0,U48,"")&amp;IF(R48&gt;0,V48,"")&amp;IF(S48&gt;0,W48,"")</f>
        <v/>
      </c>
      <c r="U48" s="264" t="s">
        <v>439</v>
      </c>
      <c r="V48" s="264" t="s">
        <v>440</v>
      </c>
      <c r="W48" s="264"/>
      <c r="X48" s="264"/>
      <c r="Y48" s="264"/>
      <c r="Z48" s="264"/>
    </row>
    <row r="49" spans="1:26" ht="12.95" customHeight="1" x14ac:dyDescent="0.2">
      <c r="A49" s="3">
        <v>152</v>
      </c>
      <c r="C49" s="315" t="s">
        <v>100</v>
      </c>
      <c r="D49" s="316">
        <v>150000</v>
      </c>
      <c r="E49" s="105" t="s">
        <v>42</v>
      </c>
      <c r="F49" s="368">
        <v>3</v>
      </c>
      <c r="G49" s="105" t="s">
        <v>13</v>
      </c>
      <c r="I49" s="368">
        <v>20</v>
      </c>
      <c r="J49" s="103" t="s">
        <v>19</v>
      </c>
      <c r="K49" s="317"/>
      <c r="M49" s="274"/>
      <c r="O49" s="264">
        <v>10000</v>
      </c>
      <c r="P49" s="264">
        <v>999999999</v>
      </c>
      <c r="Q49" s="264">
        <f t="shared" si="5"/>
        <v>0</v>
      </c>
      <c r="R49" s="264">
        <f t="shared" si="6"/>
        <v>0</v>
      </c>
      <c r="S49" s="264">
        <v>0</v>
      </c>
      <c r="T49" s="264" t="str">
        <f t="shared" si="7"/>
        <v/>
      </c>
      <c r="U49" s="264" t="s">
        <v>441</v>
      </c>
      <c r="V49" s="264" t="s">
        <v>442</v>
      </c>
      <c r="W49" s="264"/>
      <c r="X49" s="264"/>
      <c r="Y49" s="264"/>
      <c r="Z49" s="264"/>
    </row>
    <row r="50" spans="1:26" ht="12.95" customHeight="1" x14ac:dyDescent="0.2">
      <c r="A50" s="3">
        <v>153</v>
      </c>
      <c r="C50" s="315" t="s">
        <v>101</v>
      </c>
      <c r="D50" s="316">
        <v>50000</v>
      </c>
      <c r="E50" s="105" t="s">
        <v>42</v>
      </c>
      <c r="F50" s="368">
        <v>2</v>
      </c>
      <c r="G50" s="105" t="s">
        <v>13</v>
      </c>
      <c r="I50" s="368">
        <v>20</v>
      </c>
      <c r="J50" s="103" t="s">
        <v>19</v>
      </c>
      <c r="K50" s="317"/>
      <c r="M50" s="274"/>
      <c r="O50" s="264">
        <v>10000</v>
      </c>
      <c r="P50" s="264">
        <v>999999999</v>
      </c>
      <c r="Q50" s="264">
        <f>IF(Anteil_fossil_erzeugt=0,0,IF($D50&lt;O50,1,0))</f>
        <v>0</v>
      </c>
      <c r="R50" s="264">
        <f t="shared" si="6"/>
        <v>0</v>
      </c>
      <c r="S50" s="264">
        <v>0</v>
      </c>
      <c r="T50" s="264" t="str">
        <f t="shared" si="7"/>
        <v/>
      </c>
      <c r="U50" s="264" t="s">
        <v>443</v>
      </c>
      <c r="V50" s="264" t="s">
        <v>444</v>
      </c>
      <c r="W50" s="264"/>
      <c r="X50" s="264"/>
      <c r="Y50" s="264"/>
      <c r="Z50" s="264"/>
    </row>
    <row r="51" spans="1:26" ht="12.95" customHeight="1" x14ac:dyDescent="0.2">
      <c r="A51" s="3">
        <v>154</v>
      </c>
      <c r="C51" s="315" t="s">
        <v>102</v>
      </c>
      <c r="D51" s="316">
        <v>200000</v>
      </c>
      <c r="E51" s="105" t="s">
        <v>42</v>
      </c>
      <c r="F51" s="368">
        <v>2</v>
      </c>
      <c r="G51" s="105" t="s">
        <v>13</v>
      </c>
      <c r="I51" s="368">
        <v>20</v>
      </c>
      <c r="J51" s="105" t="s">
        <v>19</v>
      </c>
      <c r="K51" s="317"/>
      <c r="M51" s="274"/>
      <c r="O51" s="264">
        <v>10000</v>
      </c>
      <c r="P51" s="264">
        <v>999999999</v>
      </c>
      <c r="Q51" s="264">
        <f t="shared" ref="Q51:Q56" si="8">IF($D51&lt;O51,1,0)</f>
        <v>0</v>
      </c>
      <c r="R51" s="264">
        <f t="shared" si="6"/>
        <v>0</v>
      </c>
      <c r="S51" s="264">
        <v>0</v>
      </c>
      <c r="T51" s="264" t="str">
        <f t="shared" si="7"/>
        <v/>
      </c>
      <c r="U51" s="264" t="s">
        <v>445</v>
      </c>
      <c r="V51" s="264" t="s">
        <v>446</v>
      </c>
      <c r="W51" s="264"/>
      <c r="X51" s="264"/>
      <c r="Y51" s="264"/>
      <c r="Z51" s="264"/>
    </row>
    <row r="52" spans="1:26" ht="12.95" customHeight="1" x14ac:dyDescent="0.2">
      <c r="A52" s="3">
        <v>155</v>
      </c>
      <c r="C52" s="315" t="s">
        <v>68</v>
      </c>
      <c r="D52" s="316">
        <v>500000</v>
      </c>
      <c r="E52" s="105" t="s">
        <v>42</v>
      </c>
      <c r="F52" s="368">
        <v>1</v>
      </c>
      <c r="G52" s="105" t="s">
        <v>13</v>
      </c>
      <c r="I52" s="368">
        <v>40</v>
      </c>
      <c r="J52" s="105" t="s">
        <v>19</v>
      </c>
      <c r="K52" s="317"/>
      <c r="M52" s="274"/>
      <c r="O52" s="264">
        <v>10000</v>
      </c>
      <c r="P52" s="264">
        <v>999999999</v>
      </c>
      <c r="Q52" s="264">
        <f t="shared" si="8"/>
        <v>0</v>
      </c>
      <c r="R52" s="264">
        <f t="shared" si="6"/>
        <v>0</v>
      </c>
      <c r="S52" s="264">
        <v>0</v>
      </c>
      <c r="T52" s="264" t="str">
        <f t="shared" si="7"/>
        <v/>
      </c>
      <c r="U52" s="264" t="s">
        <v>447</v>
      </c>
      <c r="V52" s="264" t="s">
        <v>448</v>
      </c>
      <c r="W52" s="264"/>
      <c r="X52" s="264"/>
      <c r="Y52" s="264"/>
      <c r="Z52" s="264"/>
    </row>
    <row r="53" spans="1:26" ht="12.95" customHeight="1" x14ac:dyDescent="0.2">
      <c r="A53" s="3">
        <v>156</v>
      </c>
      <c r="C53" s="315" t="s">
        <v>271</v>
      </c>
      <c r="D53" s="316">
        <v>20000</v>
      </c>
      <c r="E53" s="105" t="s">
        <v>42</v>
      </c>
      <c r="F53" s="368">
        <v>2</v>
      </c>
      <c r="G53" s="105" t="s">
        <v>13</v>
      </c>
      <c r="I53" s="368">
        <v>15</v>
      </c>
      <c r="J53" s="105" t="s">
        <v>19</v>
      </c>
      <c r="K53" s="317"/>
      <c r="M53" s="274"/>
      <c r="O53" s="264">
        <v>10000</v>
      </c>
      <c r="P53" s="264">
        <v>999999999</v>
      </c>
      <c r="Q53" s="264">
        <f t="shared" si="8"/>
        <v>0</v>
      </c>
      <c r="R53" s="264">
        <f t="shared" si="6"/>
        <v>0</v>
      </c>
      <c r="S53" s="264">
        <v>0</v>
      </c>
      <c r="T53" s="264" t="str">
        <f t="shared" si="7"/>
        <v/>
      </c>
      <c r="U53" s="264" t="s">
        <v>449</v>
      </c>
      <c r="V53" s="264" t="s">
        <v>450</v>
      </c>
      <c r="X53" s="264"/>
      <c r="Y53" s="264"/>
      <c r="Z53" s="264"/>
    </row>
    <row r="54" spans="1:26" ht="12.95" customHeight="1" x14ac:dyDescent="0.2">
      <c r="A54" s="3">
        <v>157</v>
      </c>
      <c r="C54" s="315" t="s">
        <v>69</v>
      </c>
      <c r="D54" s="316">
        <v>200000</v>
      </c>
      <c r="E54" s="105" t="s">
        <v>42</v>
      </c>
      <c r="F54" s="368">
        <v>2</v>
      </c>
      <c r="G54" s="105" t="s">
        <v>13</v>
      </c>
      <c r="I54" s="368">
        <v>30</v>
      </c>
      <c r="J54" s="105" t="s">
        <v>19</v>
      </c>
      <c r="K54" s="317"/>
      <c r="M54" s="274"/>
      <c r="O54" s="264">
        <v>10000</v>
      </c>
      <c r="P54" s="264">
        <v>999999999</v>
      </c>
      <c r="Q54" s="264">
        <f t="shared" si="8"/>
        <v>0</v>
      </c>
      <c r="R54" s="264">
        <f t="shared" si="6"/>
        <v>0</v>
      </c>
      <c r="S54" s="264">
        <v>0</v>
      </c>
      <c r="T54" s="264" t="str">
        <f t="shared" si="7"/>
        <v/>
      </c>
      <c r="U54" s="264" t="s">
        <v>451</v>
      </c>
      <c r="V54" s="264" t="s">
        <v>452</v>
      </c>
      <c r="X54" s="264"/>
      <c r="Y54" s="264"/>
      <c r="Z54" s="264"/>
    </row>
    <row r="55" spans="1:26" ht="12.95" customHeight="1" x14ac:dyDescent="0.2">
      <c r="A55" s="3">
        <v>158</v>
      </c>
      <c r="C55" s="315" t="s">
        <v>166</v>
      </c>
      <c r="D55" s="316">
        <v>15000</v>
      </c>
      <c r="E55" s="105" t="s">
        <v>42</v>
      </c>
      <c r="F55" s="368">
        <v>0</v>
      </c>
      <c r="G55" s="105" t="s">
        <v>13</v>
      </c>
      <c r="I55" s="366">
        <f>IF(SUM(D48:D54)=0,1,SUMPRODUCT(D48:D54,I48:I54)/SUM(D48:D54))</f>
        <v>36.604938271604937</v>
      </c>
      <c r="J55" s="105" t="s">
        <v>19</v>
      </c>
      <c r="K55" s="317"/>
      <c r="M55" s="274"/>
      <c r="O55" s="264">
        <v>0</v>
      </c>
      <c r="P55" s="264">
        <v>999999999</v>
      </c>
      <c r="Q55" s="264">
        <f t="shared" si="8"/>
        <v>0</v>
      </c>
      <c r="R55" s="264">
        <f t="shared" si="6"/>
        <v>0</v>
      </c>
      <c r="S55" s="264">
        <f>IF(Eing_Kosten_Planung_QM&lt;Gesamtinvestition/20,1,0)</f>
        <v>1</v>
      </c>
      <c r="T55" s="264" t="str">
        <f t="shared" si="7"/>
        <v xml:space="preserve">158: Die Kosten für Planung und Unvorhergesehenes sind unter 5% der Investitionskosten. </v>
      </c>
      <c r="U55" s="264" t="s">
        <v>453</v>
      </c>
      <c r="V55" s="264" t="s">
        <v>454</v>
      </c>
      <c r="W55" s="264" t="s">
        <v>455</v>
      </c>
      <c r="X55" s="264"/>
      <c r="Y55" s="264"/>
      <c r="Z55" s="264"/>
    </row>
    <row r="56" spans="1:26" s="265" customFormat="1" ht="12.95" customHeight="1" x14ac:dyDescent="0.2">
      <c r="A56" s="3">
        <v>159</v>
      </c>
      <c r="C56" s="318" t="s">
        <v>26</v>
      </c>
      <c r="D56" s="90">
        <f>SUM(D48:D55)</f>
        <v>1635000</v>
      </c>
      <c r="E56" s="265" t="s">
        <v>42</v>
      </c>
      <c r="I56" s="319">
        <f>IF(SUM(D48:D55)=0,"",SUMPRODUCT(D48:D55,I48:I55)/SUM(D48:D55))</f>
        <v>36.604938271604937</v>
      </c>
      <c r="J56" s="265" t="s">
        <v>19</v>
      </c>
      <c r="M56" s="274"/>
      <c r="O56" s="297">
        <v>0</v>
      </c>
      <c r="P56" s="297">
        <v>999999999</v>
      </c>
      <c r="Q56" s="297">
        <f t="shared" si="8"/>
        <v>0</v>
      </c>
      <c r="R56" s="297">
        <f t="shared" si="6"/>
        <v>0</v>
      </c>
      <c r="S56" s="297">
        <v>0</v>
      </c>
      <c r="T56" s="264" t="str">
        <f t="shared" si="7"/>
        <v/>
      </c>
      <c r="U56" s="264" t="s">
        <v>456</v>
      </c>
      <c r="V56" s="264" t="s">
        <v>457</v>
      </c>
      <c r="W56" s="297"/>
      <c r="X56" s="297"/>
      <c r="Y56" s="297"/>
      <c r="Z56" s="297"/>
    </row>
    <row r="57" spans="1:26" s="265" customFormat="1" ht="12.95" customHeight="1" x14ac:dyDescent="0.2">
      <c r="A57" s="3">
        <v>160</v>
      </c>
      <c r="B57" s="265" t="s">
        <v>250</v>
      </c>
      <c r="C57" s="318"/>
      <c r="D57" s="320" t="s">
        <v>11</v>
      </c>
      <c r="E57" s="321"/>
      <c r="F57" s="310" t="s">
        <v>251</v>
      </c>
      <c r="I57" s="319"/>
      <c r="M57" s="105"/>
      <c r="O57" s="297"/>
      <c r="P57" s="297"/>
      <c r="Q57" s="297"/>
      <c r="R57" s="297"/>
      <c r="S57" s="297"/>
      <c r="T57" s="297"/>
      <c r="U57" s="297"/>
      <c r="V57" s="297"/>
      <c r="W57" s="297"/>
      <c r="X57" s="297"/>
      <c r="Y57" s="297"/>
      <c r="Z57" s="297"/>
    </row>
    <row r="58" spans="1:26" s="265" customFormat="1" ht="12.95" customHeight="1" x14ac:dyDescent="0.2">
      <c r="A58" s="3">
        <v>161</v>
      </c>
      <c r="C58" s="322" t="s">
        <v>283</v>
      </c>
      <c r="D58" s="72">
        <f>Eing_Beginnjahr</f>
        <v>2022</v>
      </c>
      <c r="E58" s="105"/>
      <c r="F58" s="105">
        <f>100-SUM(F59:F60)</f>
        <v>20</v>
      </c>
      <c r="G58" s="265" t="s">
        <v>13</v>
      </c>
      <c r="I58" s="323">
        <f>F58</f>
        <v>20</v>
      </c>
      <c r="J58" s="265" t="s">
        <v>13</v>
      </c>
      <c r="M58" s="274"/>
      <c r="O58" s="297"/>
      <c r="P58" s="297"/>
      <c r="Q58" s="297"/>
      <c r="R58" s="297"/>
      <c r="S58" s="297"/>
      <c r="T58" s="297"/>
      <c r="U58" s="297"/>
      <c r="V58" s="297"/>
      <c r="W58" s="297"/>
      <c r="X58" s="297"/>
      <c r="Y58" s="297"/>
      <c r="Z58" s="297"/>
    </row>
    <row r="59" spans="1:26" s="265" customFormat="1" ht="12.95" customHeight="1" x14ac:dyDescent="0.2">
      <c r="A59" s="3">
        <v>162</v>
      </c>
      <c r="C59" s="322" t="s">
        <v>284</v>
      </c>
      <c r="D59" s="368">
        <v>2023</v>
      </c>
      <c r="E59" s="105"/>
      <c r="F59" s="324">
        <v>30</v>
      </c>
      <c r="G59" s="265" t="s">
        <v>13</v>
      </c>
      <c r="I59" s="323">
        <f>F58+F59</f>
        <v>50</v>
      </c>
      <c r="J59" s="265" t="s">
        <v>13</v>
      </c>
      <c r="M59" s="274"/>
      <c r="O59" s="297"/>
      <c r="P59" s="297"/>
      <c r="Q59" s="297"/>
      <c r="R59" s="297"/>
      <c r="S59" s="297"/>
      <c r="T59" s="297"/>
      <c r="U59" s="297"/>
      <c r="V59" s="297"/>
      <c r="W59" s="297"/>
      <c r="X59" s="297"/>
      <c r="Y59" s="297"/>
      <c r="Z59" s="297"/>
    </row>
    <row r="60" spans="1:26" ht="12.95" customHeight="1" x14ac:dyDescent="0.2">
      <c r="A60" s="3">
        <v>163</v>
      </c>
      <c r="C60" s="322" t="s">
        <v>285</v>
      </c>
      <c r="D60" s="368">
        <v>2024</v>
      </c>
      <c r="E60" s="105"/>
      <c r="F60" s="324">
        <v>50</v>
      </c>
      <c r="G60" s="105" t="s">
        <v>13</v>
      </c>
      <c r="I60" s="323">
        <f>I59+F60</f>
        <v>100</v>
      </c>
      <c r="J60" s="105" t="s">
        <v>13</v>
      </c>
      <c r="M60" s="274"/>
      <c r="O60" s="264"/>
      <c r="P60" s="264"/>
      <c r="Q60" s="264"/>
      <c r="R60" s="264"/>
      <c r="S60" s="264"/>
      <c r="T60" s="264"/>
      <c r="U60" s="264"/>
      <c r="V60" s="264"/>
      <c r="W60" s="264"/>
      <c r="X60" s="264"/>
      <c r="Y60" s="264"/>
      <c r="Z60" s="264"/>
    </row>
    <row r="61" spans="1:26" ht="12.95" customHeight="1" x14ac:dyDescent="0.2">
      <c r="A61" s="290"/>
      <c r="C61" s="322"/>
      <c r="D61" s="105"/>
      <c r="E61" s="105"/>
      <c r="O61" s="264"/>
      <c r="P61" s="264"/>
      <c r="Q61" s="264"/>
      <c r="R61" s="264"/>
      <c r="S61" s="264"/>
      <c r="T61" s="264"/>
      <c r="U61" s="264"/>
      <c r="V61" s="264"/>
      <c r="W61" s="264"/>
      <c r="X61" s="264"/>
      <c r="Y61" s="264"/>
      <c r="Z61" s="264"/>
    </row>
    <row r="62" spans="1:26" ht="12.95" customHeight="1" x14ac:dyDescent="0.2">
      <c r="A62" s="3">
        <v>165</v>
      </c>
      <c r="B62" s="265" t="s">
        <v>81</v>
      </c>
      <c r="C62" s="318" t="s">
        <v>274</v>
      </c>
      <c r="D62" s="105"/>
      <c r="E62" s="105"/>
      <c r="O62" s="264"/>
      <c r="P62" s="264"/>
      <c r="Q62" s="264"/>
      <c r="R62" s="264"/>
      <c r="S62" s="264"/>
      <c r="T62" s="264" t="str">
        <f>T63&amp;T64&amp;T66&amp;T65</f>
        <v/>
      </c>
      <c r="U62" s="264"/>
      <c r="V62" s="264"/>
      <c r="W62" s="264"/>
      <c r="X62" s="264"/>
      <c r="Y62" s="264"/>
      <c r="Z62" s="264"/>
    </row>
    <row r="63" spans="1:26" ht="12.95" customHeight="1" x14ac:dyDescent="0.2">
      <c r="A63" s="3">
        <v>166</v>
      </c>
      <c r="C63" s="315" t="s">
        <v>70</v>
      </c>
      <c r="D63" s="304">
        <v>1000000</v>
      </c>
      <c r="E63" s="103" t="s">
        <v>42</v>
      </c>
      <c r="I63" s="103"/>
      <c r="M63" s="274"/>
      <c r="O63" s="264">
        <v>0</v>
      </c>
      <c r="P63" s="264">
        <f>Gesamtinvestition</f>
        <v>1635000</v>
      </c>
      <c r="Q63" s="264">
        <f>IF($D63&lt;O63,1,0)</f>
        <v>0</v>
      </c>
      <c r="R63" s="264">
        <f>IF($D63&gt;P63,1,0)</f>
        <v>0</v>
      </c>
      <c r="S63" s="264">
        <v>0</v>
      </c>
      <c r="T63" s="264" t="str">
        <f>IF(Q63&gt;0,U63,"")&amp;IF(R63&gt;0,V63,"")&amp;IF(S63&gt;0,W63,"")</f>
        <v/>
      </c>
      <c r="U63" s="264" t="s">
        <v>458</v>
      </c>
      <c r="V63" s="264" t="s">
        <v>459</v>
      </c>
      <c r="W63" s="264"/>
      <c r="X63" s="264"/>
      <c r="Y63" s="264"/>
      <c r="Z63" s="264"/>
    </row>
    <row r="64" spans="1:26" ht="12.95" customHeight="1" x14ac:dyDescent="0.2">
      <c r="A64" s="3">
        <v>167</v>
      </c>
      <c r="C64" s="322" t="s">
        <v>9</v>
      </c>
      <c r="D64" s="304">
        <v>15</v>
      </c>
      <c r="E64" s="105" t="s">
        <v>19</v>
      </c>
      <c r="M64" s="274"/>
      <c r="O64" s="264">
        <v>0</v>
      </c>
      <c r="P64" s="264">
        <v>25</v>
      </c>
      <c r="Q64" s="264">
        <f>IF($D64&lt;O64,Eing_Kredit_1,0)</f>
        <v>0</v>
      </c>
      <c r="R64" s="264">
        <f>IF($D64&gt;P64,Eing_Kredit_1,0)</f>
        <v>0</v>
      </c>
      <c r="S64" s="264">
        <v>0</v>
      </c>
      <c r="T64" s="264" t="str">
        <f>IF(Q64&gt;0,U64,"")&amp;IF(R64&gt;0,V64,"")&amp;IF(S64&gt;0,W64,"")</f>
        <v/>
      </c>
      <c r="U64" s="264" t="s">
        <v>460</v>
      </c>
      <c r="V64" s="264" t="s">
        <v>461</v>
      </c>
      <c r="W64" s="264"/>
      <c r="X64" s="264"/>
      <c r="Y64" s="264"/>
      <c r="Z64" s="264"/>
    </row>
    <row r="65" spans="1:26" ht="12.95" customHeight="1" x14ac:dyDescent="0.2">
      <c r="A65" s="3">
        <v>168</v>
      </c>
      <c r="C65" s="322" t="s">
        <v>93</v>
      </c>
      <c r="D65" s="301">
        <v>2022</v>
      </c>
      <c r="E65" s="103"/>
      <c r="I65" s="103"/>
      <c r="M65" s="274"/>
      <c r="O65" s="264">
        <f>Eing_Beginnjahr-1</f>
        <v>2021</v>
      </c>
      <c r="P65" s="264">
        <f>O65+20</f>
        <v>2041</v>
      </c>
      <c r="Q65" s="264">
        <f>IF($D65&lt;=O65,Eing_Kredit_1,0)</f>
        <v>0</v>
      </c>
      <c r="R65" s="264">
        <f>IF($D65&gt;P65,Eing_Kredit_1,0)</f>
        <v>0</v>
      </c>
      <c r="S65" s="264">
        <v>0</v>
      </c>
      <c r="T65" s="264" t="str">
        <f>IF(Q65&gt;0,U65,"")&amp;IF(R65&gt;0,V65,"")&amp;IF(S65&gt;0,W65,"")</f>
        <v/>
      </c>
      <c r="U65" s="264" t="s">
        <v>462</v>
      </c>
      <c r="V65" s="264" t="s">
        <v>463</v>
      </c>
      <c r="W65" s="264"/>
      <c r="X65" s="264"/>
      <c r="Y65" s="264"/>
      <c r="Z65" s="264"/>
    </row>
    <row r="66" spans="1:26" ht="12.95" customHeight="1" x14ac:dyDescent="0.2">
      <c r="A66" s="3">
        <v>169</v>
      </c>
      <c r="C66" s="322" t="s">
        <v>10</v>
      </c>
      <c r="D66" s="300">
        <v>2.5</v>
      </c>
      <c r="E66" s="105" t="s">
        <v>13</v>
      </c>
      <c r="M66" s="274"/>
      <c r="O66" s="264">
        <v>2</v>
      </c>
      <c r="P66" s="264">
        <v>10</v>
      </c>
      <c r="Q66" s="264">
        <f>IF($D66&lt;=O66,Eing_Kredit_1,0)</f>
        <v>0</v>
      </c>
      <c r="R66" s="264">
        <f>IF($D66&gt;P66,Eing_Kredit_1,0)</f>
        <v>0</v>
      </c>
      <c r="S66" s="264">
        <v>0</v>
      </c>
      <c r="T66" s="264" t="str">
        <f>IF(Q66&gt;0,U66,"")&amp;IF(R66&gt;0,V66,"")&amp;IF(S66&gt;0,W66,"")</f>
        <v/>
      </c>
      <c r="U66" s="264" t="s">
        <v>464</v>
      </c>
      <c r="V66" s="264" t="s">
        <v>465</v>
      </c>
      <c r="W66" s="264"/>
      <c r="X66" s="264"/>
      <c r="Y66" s="264"/>
      <c r="Z66" s="264"/>
    </row>
    <row r="67" spans="1:26" ht="12.95" customHeight="1" x14ac:dyDescent="0.2">
      <c r="A67" s="290"/>
      <c r="C67" s="105"/>
      <c r="D67" s="105"/>
      <c r="E67" s="105"/>
      <c r="O67" s="264"/>
      <c r="P67" s="264"/>
      <c r="Q67" s="264"/>
      <c r="R67" s="264"/>
      <c r="S67" s="264"/>
      <c r="T67" s="264"/>
      <c r="U67" s="264"/>
      <c r="V67" s="264"/>
      <c r="W67" s="264"/>
      <c r="X67" s="264"/>
      <c r="Y67" s="264"/>
      <c r="Z67" s="264"/>
    </row>
    <row r="68" spans="1:26" ht="12.95" customHeight="1" x14ac:dyDescent="0.2">
      <c r="A68" s="290"/>
      <c r="B68" s="265"/>
      <c r="C68" s="325" t="s">
        <v>275</v>
      </c>
      <c r="D68" s="105"/>
      <c r="E68" s="105"/>
      <c r="O68" s="264"/>
      <c r="P68" s="264"/>
      <c r="Q68" s="264"/>
      <c r="R68" s="264"/>
      <c r="S68" s="264"/>
      <c r="T68" s="264" t="str">
        <f>T69&amp;T70&amp;T72&amp;T71</f>
        <v/>
      </c>
      <c r="U68" s="264"/>
      <c r="V68" s="264"/>
      <c r="W68" s="264"/>
      <c r="X68" s="264"/>
      <c r="Y68" s="264"/>
      <c r="Z68" s="264"/>
    </row>
    <row r="69" spans="1:26" ht="12.95" customHeight="1" x14ac:dyDescent="0.2">
      <c r="A69" s="3">
        <v>166</v>
      </c>
      <c r="C69" s="315" t="s">
        <v>70</v>
      </c>
      <c r="D69" s="304">
        <v>120000</v>
      </c>
      <c r="E69" s="103" t="s">
        <v>42</v>
      </c>
      <c r="I69" s="103"/>
      <c r="M69" s="274"/>
      <c r="O69" s="264">
        <v>0</v>
      </c>
      <c r="P69" s="264">
        <f>Gesamtinvestition</f>
        <v>1635000</v>
      </c>
      <c r="Q69" s="264">
        <f>IF($D69&lt;O69,1,0)</f>
        <v>0</v>
      </c>
      <c r="R69" s="264">
        <f>IF($D69&gt;P69,1,0)</f>
        <v>0</v>
      </c>
      <c r="S69" s="264">
        <v>0</v>
      </c>
      <c r="T69" s="264" t="str">
        <f>IF(Q69&gt;0,U69,"")&amp;IF(R69&gt;0,V69,"")&amp;IF(S69&gt;0,W69,"")</f>
        <v/>
      </c>
      <c r="U69" s="264" t="s">
        <v>458</v>
      </c>
      <c r="V69" s="264" t="s">
        <v>459</v>
      </c>
      <c r="W69" s="264"/>
      <c r="X69" s="264"/>
      <c r="Y69" s="264"/>
      <c r="Z69" s="264"/>
    </row>
    <row r="70" spans="1:26" ht="12.95" customHeight="1" x14ac:dyDescent="0.2">
      <c r="A70" s="3">
        <v>167</v>
      </c>
      <c r="C70" s="322" t="s">
        <v>9</v>
      </c>
      <c r="D70" s="304">
        <v>5</v>
      </c>
      <c r="E70" s="105" t="s">
        <v>19</v>
      </c>
      <c r="M70" s="274"/>
      <c r="O70" s="264">
        <v>0</v>
      </c>
      <c r="P70" s="264">
        <v>25</v>
      </c>
      <c r="Q70" s="264">
        <f>IF($D70&lt;O70,Eing_Kredit_2,0)</f>
        <v>0</v>
      </c>
      <c r="R70" s="264">
        <f>IF($D70&gt;P70,Eing_Kredit_2,0)</f>
        <v>0</v>
      </c>
      <c r="S70" s="264">
        <v>0</v>
      </c>
      <c r="T70" s="264" t="str">
        <f>IF(Q70&gt;0,U70,"")&amp;IF(R70&gt;0,V70,"")&amp;IF(S70&gt;0,W70,"")</f>
        <v/>
      </c>
      <c r="U70" s="264" t="s">
        <v>460</v>
      </c>
      <c r="V70" s="264" t="s">
        <v>461</v>
      </c>
      <c r="W70" s="264"/>
      <c r="X70" s="264"/>
      <c r="Y70" s="264"/>
      <c r="Z70" s="264"/>
    </row>
    <row r="71" spans="1:26" ht="12.95" customHeight="1" x14ac:dyDescent="0.2">
      <c r="A71" s="3">
        <v>168</v>
      </c>
      <c r="C71" s="322" t="s">
        <v>93</v>
      </c>
      <c r="D71" s="301">
        <v>2030</v>
      </c>
      <c r="E71" s="103"/>
      <c r="I71" s="103"/>
      <c r="M71" s="274"/>
      <c r="O71" s="264">
        <f>Eing_Beginnjahr-1</f>
        <v>2021</v>
      </c>
      <c r="P71" s="264">
        <f>O71+20</f>
        <v>2041</v>
      </c>
      <c r="Q71" s="264">
        <f>IF($D71&lt;=O71,Eing_Kredit_2,0)</f>
        <v>0</v>
      </c>
      <c r="R71" s="264">
        <f>IF($D71&gt;P71,Eing_Kredit_2,0)</f>
        <v>0</v>
      </c>
      <c r="S71" s="264">
        <v>0</v>
      </c>
      <c r="T71" s="264" t="str">
        <f>IF(Q71&gt;0,U71,"")&amp;IF(R71&gt;0,V71,"")&amp;IF(S71&gt;0,W71,"")</f>
        <v/>
      </c>
      <c r="U71" s="264" t="s">
        <v>462</v>
      </c>
      <c r="V71" s="264" t="s">
        <v>463</v>
      </c>
      <c r="W71" s="264"/>
      <c r="X71" s="264"/>
      <c r="Y71" s="264"/>
      <c r="Z71" s="264"/>
    </row>
    <row r="72" spans="1:26" ht="12.95" customHeight="1" x14ac:dyDescent="0.2">
      <c r="A72" s="3">
        <v>169</v>
      </c>
      <c r="C72" s="322" t="s">
        <v>10</v>
      </c>
      <c r="D72" s="300">
        <v>4</v>
      </c>
      <c r="E72" s="105" t="s">
        <v>13</v>
      </c>
      <c r="M72" s="274"/>
      <c r="O72" s="264">
        <v>2</v>
      </c>
      <c r="P72" s="264">
        <v>10</v>
      </c>
      <c r="Q72" s="264">
        <f>IF($D72&lt;=O72,Eing_Kredit_2,0)</f>
        <v>0</v>
      </c>
      <c r="R72" s="264">
        <f>IF($D72&gt;P72,Eing_Kredit_2,0)</f>
        <v>0</v>
      </c>
      <c r="S72" s="264">
        <v>0</v>
      </c>
      <c r="T72" s="264" t="str">
        <f>IF(Q72&gt;0,U72,"")&amp;IF(R72&gt;0,V72,"")&amp;IF(S72&gt;0,W72,"")</f>
        <v/>
      </c>
      <c r="U72" s="264" t="s">
        <v>464</v>
      </c>
      <c r="V72" s="264" t="s">
        <v>465</v>
      </c>
      <c r="W72" s="264"/>
      <c r="X72" s="264"/>
      <c r="Y72" s="264"/>
      <c r="Z72" s="264"/>
    </row>
    <row r="73" spans="1:26" ht="12.95" customHeight="1" x14ac:dyDescent="0.2">
      <c r="A73" s="290"/>
      <c r="C73" s="105"/>
      <c r="D73" s="105"/>
      <c r="E73" s="105"/>
      <c r="O73" s="264"/>
      <c r="P73" s="264"/>
      <c r="Q73" s="264"/>
      <c r="R73" s="264"/>
      <c r="S73" s="264"/>
      <c r="T73" s="264"/>
      <c r="U73" s="264"/>
      <c r="V73" s="264"/>
      <c r="W73" s="264"/>
      <c r="X73" s="264"/>
      <c r="Y73" s="264"/>
      <c r="Z73" s="264"/>
    </row>
    <row r="74" spans="1:26" ht="12.95" customHeight="1" x14ac:dyDescent="0.2">
      <c r="A74" s="3">
        <v>170</v>
      </c>
      <c r="B74" s="265" t="s">
        <v>1</v>
      </c>
      <c r="C74" s="105"/>
      <c r="D74" s="105"/>
      <c r="E74" s="105"/>
      <c r="O74" s="264"/>
      <c r="P74" s="264"/>
      <c r="Q74" s="264"/>
      <c r="R74" s="264"/>
      <c r="S74" s="264"/>
      <c r="T74" s="264" t="str">
        <f>T76&amp;T77&amp;T82&amp;T78&amp;T79&amp;T81&amp;T83</f>
        <v/>
      </c>
      <c r="U74" s="264"/>
      <c r="V74" s="264"/>
      <c r="W74" s="264"/>
      <c r="X74" s="264"/>
      <c r="Y74" s="264"/>
      <c r="Z74" s="264"/>
    </row>
    <row r="75" spans="1:26" ht="12.95" customHeight="1" x14ac:dyDescent="0.2">
      <c r="A75" s="3">
        <v>171</v>
      </c>
      <c r="C75" s="318" t="s">
        <v>74</v>
      </c>
      <c r="D75" s="105"/>
      <c r="E75" s="105"/>
      <c r="O75" s="264"/>
      <c r="P75" s="264"/>
      <c r="Q75" s="264"/>
      <c r="R75" s="264"/>
      <c r="S75" s="264"/>
      <c r="T75" s="264"/>
      <c r="U75" s="264"/>
      <c r="V75" s="264"/>
      <c r="W75" s="264"/>
      <c r="X75" s="264"/>
      <c r="Y75" s="264"/>
      <c r="Z75" s="264"/>
    </row>
    <row r="76" spans="1:26" ht="12.95" customHeight="1" x14ac:dyDescent="0.2">
      <c r="A76" s="3">
        <v>172</v>
      </c>
      <c r="C76" s="315" t="s">
        <v>71</v>
      </c>
      <c r="D76" s="304">
        <v>159000</v>
      </c>
      <c r="E76" s="105" t="s">
        <v>42</v>
      </c>
      <c r="M76" s="274"/>
      <c r="O76" s="264">
        <v>0</v>
      </c>
      <c r="P76" s="264">
        <f>Gesamtinvestition</f>
        <v>1635000</v>
      </c>
      <c r="Q76" s="264">
        <f>IF($D76&lt;O76,1,0)</f>
        <v>0</v>
      </c>
      <c r="R76" s="264">
        <f>IF($D76&gt;P76,1,0)</f>
        <v>0</v>
      </c>
      <c r="S76" s="264">
        <v>0</v>
      </c>
      <c r="T76" s="264" t="str">
        <f>IF(Q76&gt;0,U76,"")&amp;IF(R76&gt;0,V76,"")&amp;IF(S76&gt;0,W76,"")</f>
        <v/>
      </c>
      <c r="U76" s="264" t="s">
        <v>466</v>
      </c>
      <c r="V76" s="264" t="s">
        <v>467</v>
      </c>
      <c r="W76" s="264"/>
      <c r="X76" s="264"/>
      <c r="Y76" s="264"/>
      <c r="Z76" s="264"/>
    </row>
    <row r="77" spans="1:26" ht="12.95" customHeight="1" x14ac:dyDescent="0.2">
      <c r="A77" s="3">
        <v>173</v>
      </c>
      <c r="C77" s="322" t="s">
        <v>95</v>
      </c>
      <c r="D77" s="301">
        <v>2024</v>
      </c>
      <c r="E77" s="103"/>
      <c r="M77" s="274"/>
      <c r="O77" s="264">
        <f>Eing_Beginnjahr</f>
        <v>2022</v>
      </c>
      <c r="P77" s="264">
        <f>O77+10</f>
        <v>2032</v>
      </c>
      <c r="Q77" s="289">
        <f>IF($D77&lt;O77,Einmaliger_Förderbeitrag_1,0)</f>
        <v>0</v>
      </c>
      <c r="R77" s="289">
        <f>IF($D77&gt;P77,Einmaliger_Förderbeitrag_1,0)</f>
        <v>0</v>
      </c>
      <c r="S77" s="289">
        <v>0</v>
      </c>
      <c r="T77" s="264" t="str">
        <f>IF(Q77&gt;0,U77,"")&amp;IF(R77&gt;0,V77,"")&amp;IF(S77&gt;0,W77,"")</f>
        <v/>
      </c>
      <c r="U77" s="289" t="s">
        <v>468</v>
      </c>
      <c r="V77" s="264" t="s">
        <v>469</v>
      </c>
      <c r="W77" s="264"/>
      <c r="X77" s="264"/>
      <c r="Y77" s="264"/>
      <c r="Z77" s="264"/>
    </row>
    <row r="78" spans="1:26" ht="12.95" customHeight="1" x14ac:dyDescent="0.2">
      <c r="A78" s="3">
        <v>174</v>
      </c>
      <c r="B78" s="265"/>
      <c r="C78" s="315" t="s">
        <v>72</v>
      </c>
      <c r="D78" s="304">
        <v>50000</v>
      </c>
      <c r="E78" s="103" t="s">
        <v>42</v>
      </c>
      <c r="M78" s="274"/>
      <c r="O78" s="264">
        <v>0</v>
      </c>
      <c r="P78" s="264">
        <f>Gesamtinvestition</f>
        <v>1635000</v>
      </c>
      <c r="Q78" s="264">
        <f>IF($D78&lt;O78,1,0)</f>
        <v>0</v>
      </c>
      <c r="R78" s="264">
        <f>IF($D78&gt;P78,1,0)</f>
        <v>0</v>
      </c>
      <c r="S78" s="264">
        <v>0</v>
      </c>
      <c r="T78" s="264" t="str">
        <f>IF(Q78&gt;0,U78,"")&amp;IF(R78&gt;0,V78,"")&amp;IF(S78&gt;0,W78,"")</f>
        <v/>
      </c>
      <c r="U78" s="264" t="s">
        <v>470</v>
      </c>
      <c r="V78" s="264" t="s">
        <v>471</v>
      </c>
      <c r="W78" s="264"/>
      <c r="X78" s="264"/>
      <c r="Y78" s="264"/>
      <c r="Z78" s="264"/>
    </row>
    <row r="79" spans="1:26" ht="12.95" customHeight="1" x14ac:dyDescent="0.2">
      <c r="A79" s="3">
        <v>175</v>
      </c>
      <c r="C79" s="322" t="s">
        <v>95</v>
      </c>
      <c r="D79" s="301">
        <v>2025</v>
      </c>
      <c r="E79" s="103"/>
      <c r="M79" s="274"/>
      <c r="O79" s="264">
        <f>Eing_Beginnjahr</f>
        <v>2022</v>
      </c>
      <c r="P79" s="264">
        <f>O79+10</f>
        <v>2032</v>
      </c>
      <c r="Q79" s="289">
        <f>IF($D79&lt;O79,D78,0)</f>
        <v>0</v>
      </c>
      <c r="R79" s="289">
        <f>IF($D79&gt;P79,Einmaliger_Förderbeitrag_2,0)</f>
        <v>0</v>
      </c>
      <c r="S79" s="289">
        <v>0</v>
      </c>
      <c r="T79" s="264" t="str">
        <f>IF(Q79&gt;0,U79,"")&amp;IF(R79&gt;0,V79,"")&amp;IF(S79&gt;0,W79,"")</f>
        <v/>
      </c>
      <c r="U79" s="289" t="s">
        <v>472</v>
      </c>
      <c r="V79" s="264" t="s">
        <v>473</v>
      </c>
      <c r="W79" s="264"/>
      <c r="X79" s="264"/>
      <c r="Y79" s="264"/>
      <c r="Z79" s="264"/>
    </row>
    <row r="80" spans="1:26" ht="12.95" customHeight="1" x14ac:dyDescent="0.2">
      <c r="A80" s="3">
        <v>176</v>
      </c>
      <c r="C80" s="326" t="s">
        <v>84</v>
      </c>
      <c r="D80" s="303"/>
      <c r="E80" s="103"/>
      <c r="O80" s="264"/>
      <c r="P80" s="264"/>
      <c r="Q80" s="264"/>
      <c r="R80" s="264"/>
      <c r="S80" s="264"/>
      <c r="T80" s="264"/>
      <c r="U80" s="264"/>
      <c r="V80" s="264"/>
      <c r="W80" s="264"/>
      <c r="X80" s="264"/>
      <c r="Y80" s="264"/>
      <c r="Z80" s="264"/>
    </row>
    <row r="81" spans="1:26" ht="12.95" customHeight="1" x14ac:dyDescent="0.2">
      <c r="A81" s="3">
        <v>177</v>
      </c>
      <c r="C81" s="322" t="s">
        <v>97</v>
      </c>
      <c r="D81" s="304">
        <v>10000</v>
      </c>
      <c r="E81" s="103" t="s">
        <v>43</v>
      </c>
      <c r="M81" s="274"/>
      <c r="O81" s="264">
        <v>0</v>
      </c>
      <c r="P81" s="264">
        <f>IF(Eing_Förderung_wiederholend_Laufzeit=0,0,Gesamtinvestition/Eing_Förderung_wiederholend_Laufzeit)</f>
        <v>109000</v>
      </c>
      <c r="Q81" s="264">
        <f>IF($D81&lt;O81,1,0)</f>
        <v>0</v>
      </c>
      <c r="R81" s="264">
        <f>IF($D81&gt;P81,1,0)</f>
        <v>0</v>
      </c>
      <c r="S81" s="264">
        <v>0</v>
      </c>
      <c r="T81" s="264" t="str">
        <f>IF(Q81&gt;0,U81,"")&amp;IF(R81&gt;0,V81,"")&amp;IF(S81&gt;0,W81,"")</f>
        <v/>
      </c>
      <c r="U81" s="264" t="s">
        <v>474</v>
      </c>
      <c r="V81" s="264" t="s">
        <v>475</v>
      </c>
      <c r="W81" s="264"/>
      <c r="X81" s="264"/>
      <c r="Y81" s="264"/>
      <c r="Z81" s="264"/>
    </row>
    <row r="82" spans="1:26" ht="12.95" customHeight="1" x14ac:dyDescent="0.2">
      <c r="A82" s="3">
        <v>178</v>
      </c>
      <c r="C82" s="322" t="s">
        <v>96</v>
      </c>
      <c r="D82" s="304">
        <v>15</v>
      </c>
      <c r="E82" s="103" t="s">
        <v>67</v>
      </c>
      <c r="M82" s="274"/>
      <c r="O82" s="264">
        <v>2</v>
      </c>
      <c r="P82" s="264">
        <v>25</v>
      </c>
      <c r="Q82" s="264">
        <f>IF($D82&lt;O82,jährlicher_Förderbeitrag,0)</f>
        <v>0</v>
      </c>
      <c r="R82" s="264">
        <f>IF($D82&gt;P82,jährlicher_Förderbeitrag,0)</f>
        <v>0</v>
      </c>
      <c r="S82" s="264">
        <v>0</v>
      </c>
      <c r="T82" s="264" t="str">
        <f>IF(Q82&gt;0,U82,"")&amp;IF(R82&gt;0,V82,"")&amp;IF(S82&gt;0,W82,"")</f>
        <v/>
      </c>
      <c r="U82" s="264" t="s">
        <v>476</v>
      </c>
      <c r="V82" s="264" t="s">
        <v>477</v>
      </c>
      <c r="W82" s="264"/>
      <c r="X82" s="264"/>
      <c r="Y82" s="264"/>
      <c r="Z82" s="264"/>
    </row>
    <row r="83" spans="1:26" ht="12.95" customHeight="1" x14ac:dyDescent="0.2">
      <c r="A83" s="3">
        <v>179</v>
      </c>
      <c r="C83" s="315" t="s">
        <v>94</v>
      </c>
      <c r="D83" s="301">
        <v>2026</v>
      </c>
      <c r="E83" s="103"/>
      <c r="M83" s="274"/>
      <c r="O83" s="264">
        <f>Eing_Beginnjahr</f>
        <v>2022</v>
      </c>
      <c r="P83" s="264">
        <f>O83+10</f>
        <v>2032</v>
      </c>
      <c r="Q83" s="289">
        <f>IF($D83&lt;O83,jährlicher_Förderbeitrag,0)</f>
        <v>0</v>
      </c>
      <c r="R83" s="289">
        <f>IF($D83&gt;P83,jährlicher_Förderbeitrag,0)</f>
        <v>0</v>
      </c>
      <c r="S83" s="289">
        <v>0</v>
      </c>
      <c r="T83" s="264" t="str">
        <f>IF(Q83&gt;0,U83,"")&amp;IF(R83&gt;0,V83,"")&amp;IF(S83&gt;0,W83,"")</f>
        <v/>
      </c>
      <c r="U83" s="289" t="s">
        <v>478</v>
      </c>
      <c r="V83" s="264" t="s">
        <v>479</v>
      </c>
      <c r="W83" s="264"/>
      <c r="X83" s="264"/>
      <c r="Y83" s="264"/>
      <c r="Z83" s="264"/>
    </row>
    <row r="84" spans="1:26" ht="12.95" customHeight="1" x14ac:dyDescent="0.2">
      <c r="A84" s="290"/>
      <c r="C84" s="322"/>
      <c r="D84" s="105"/>
      <c r="E84" s="105"/>
      <c r="O84" s="264"/>
      <c r="P84" s="264"/>
      <c r="Q84" s="264"/>
      <c r="R84" s="264"/>
      <c r="S84" s="264"/>
      <c r="T84" s="264"/>
      <c r="U84" s="264"/>
      <c r="V84" s="264"/>
      <c r="W84" s="264"/>
      <c r="X84" s="264"/>
      <c r="Y84" s="264"/>
      <c r="Z84" s="264"/>
    </row>
    <row r="85" spans="1:26" ht="12.95" customHeight="1" x14ac:dyDescent="0.2">
      <c r="A85" s="3">
        <v>180</v>
      </c>
      <c r="B85" s="265" t="s">
        <v>177</v>
      </c>
      <c r="C85" s="105"/>
      <c r="D85" s="1"/>
      <c r="E85" s="1"/>
      <c r="O85" s="264"/>
      <c r="P85" s="264"/>
      <c r="Q85" s="264"/>
      <c r="R85" s="264"/>
      <c r="S85" s="264"/>
      <c r="T85" s="264"/>
      <c r="U85" s="264"/>
      <c r="V85" s="264"/>
      <c r="W85" s="264"/>
      <c r="X85" s="264"/>
      <c r="Y85" s="264"/>
      <c r="Z85" s="264"/>
    </row>
    <row r="86" spans="1:26" ht="12.95" customHeight="1" x14ac:dyDescent="0.2">
      <c r="A86" s="3">
        <v>181</v>
      </c>
      <c r="C86" s="305" t="s">
        <v>179</v>
      </c>
      <c r="D86" s="66">
        <f>Eing_verkaufteWM/((100-Eing_Netzverluste))*100</f>
        <v>2077.7777777777778</v>
      </c>
      <c r="E86" s="1" t="s">
        <v>14</v>
      </c>
      <c r="M86" s="274"/>
      <c r="O86" s="264"/>
      <c r="P86" s="264"/>
      <c r="Q86" s="264"/>
      <c r="R86" s="264"/>
      <c r="S86" s="264"/>
      <c r="T86" s="264"/>
      <c r="U86" s="264"/>
      <c r="V86" s="264"/>
      <c r="W86" s="264"/>
      <c r="X86" s="264"/>
      <c r="Y86" s="264"/>
      <c r="Z86" s="264"/>
    </row>
    <row r="87" spans="1:26" ht="12.95" customHeight="1" x14ac:dyDescent="0.2">
      <c r="A87" s="3">
        <v>182</v>
      </c>
      <c r="C87" s="305" t="s">
        <v>181</v>
      </c>
      <c r="D87" s="66">
        <f>D86*Eing_Anteil_Biomasse/100</f>
        <v>1766.1111111111113</v>
      </c>
      <c r="E87" s="1" t="s">
        <v>14</v>
      </c>
      <c r="M87" s="274"/>
      <c r="O87" s="264"/>
      <c r="P87" s="264"/>
      <c r="Q87" s="264"/>
      <c r="R87" s="264"/>
      <c r="S87" s="264"/>
      <c r="T87" s="264"/>
      <c r="U87" s="264"/>
      <c r="V87" s="264"/>
      <c r="W87" s="264"/>
      <c r="X87" s="264"/>
      <c r="Y87" s="264"/>
      <c r="Z87" s="264"/>
    </row>
    <row r="88" spans="1:26" ht="12.95" customHeight="1" x14ac:dyDescent="0.2">
      <c r="A88" s="3">
        <v>183</v>
      </c>
      <c r="C88" s="305" t="s">
        <v>182</v>
      </c>
      <c r="D88" s="66">
        <f>IF(Eing_Jahresnutzungsgrad_Kessel=0,0,Erzeugte_Wärmemenge*(Anteil_fossil_erzeugt/100)/Eing_Jahresnutzungsgrad_Kessel*100)</f>
        <v>366.66666666666669</v>
      </c>
      <c r="E88" s="1" t="s">
        <v>14</v>
      </c>
      <c r="M88" s="274"/>
      <c r="O88" s="264"/>
      <c r="P88" s="264"/>
      <c r="Q88" s="264"/>
      <c r="R88" s="264"/>
      <c r="S88" s="264"/>
      <c r="T88" s="264"/>
      <c r="U88" s="264"/>
      <c r="V88" s="264"/>
      <c r="W88" s="264"/>
      <c r="X88" s="264"/>
      <c r="Y88" s="264"/>
      <c r="Z88" s="264"/>
    </row>
    <row r="89" spans="1:26" ht="12.95" customHeight="1" x14ac:dyDescent="0.2">
      <c r="A89" s="3">
        <v>184</v>
      </c>
      <c r="C89" s="305" t="s">
        <v>189</v>
      </c>
      <c r="D89" s="66">
        <f>Erzeugte_Wärmemenge*Eing_Spez_Stromverbrauch/100</f>
        <v>41.555555555555557</v>
      </c>
      <c r="E89" s="1" t="s">
        <v>14</v>
      </c>
      <c r="M89" s="274"/>
      <c r="O89" s="264"/>
      <c r="P89" s="264"/>
      <c r="Q89" s="264"/>
      <c r="R89" s="264"/>
      <c r="S89" s="264"/>
      <c r="T89" s="264"/>
      <c r="U89" s="264"/>
      <c r="V89" s="264"/>
      <c r="W89" s="264"/>
      <c r="X89" s="264"/>
      <c r="Y89" s="264"/>
      <c r="Z89" s="264"/>
    </row>
    <row r="90" spans="1:26" ht="12.95" customHeight="1" x14ac:dyDescent="0.2">
      <c r="A90" s="3">
        <v>185</v>
      </c>
      <c r="C90" s="305" t="s">
        <v>180</v>
      </c>
      <c r="D90" s="66">
        <f>Eingesetzte_Brennstoffwärme_Biomasse*Eing_Rohstoffpreis_Biomasse</f>
        <v>97136.111111111124</v>
      </c>
      <c r="E90" s="1" t="s">
        <v>43</v>
      </c>
      <c r="M90" s="274"/>
      <c r="O90" s="264"/>
      <c r="P90" s="264"/>
      <c r="Q90" s="264"/>
      <c r="R90" s="264"/>
      <c r="S90" s="264"/>
      <c r="T90" s="264"/>
      <c r="U90" s="264"/>
      <c r="V90" s="264"/>
      <c r="W90" s="264"/>
      <c r="X90" s="264"/>
      <c r="Y90" s="264"/>
      <c r="Z90" s="264"/>
    </row>
    <row r="91" spans="1:26" ht="12.95" customHeight="1" x14ac:dyDescent="0.2">
      <c r="A91" s="3">
        <v>186</v>
      </c>
      <c r="C91" s="305" t="s">
        <v>183</v>
      </c>
      <c r="D91" s="66">
        <f>Eingesetzte_Brennstoffwärme_fossil*Eing_Rohstoffpreis_fossil</f>
        <v>31166.666666666668</v>
      </c>
      <c r="E91" s="1" t="s">
        <v>43</v>
      </c>
      <c r="M91" s="274"/>
      <c r="O91" s="264"/>
      <c r="P91" s="264"/>
      <c r="Q91" s="264"/>
      <c r="R91" s="264"/>
      <c r="S91" s="264"/>
      <c r="T91" s="264"/>
      <c r="U91" s="264"/>
      <c r="V91" s="264"/>
      <c r="W91" s="264"/>
      <c r="X91" s="264"/>
      <c r="Y91" s="264"/>
      <c r="Z91" s="264"/>
    </row>
    <row r="92" spans="1:26" ht="12.95" customHeight="1" x14ac:dyDescent="0.2">
      <c r="A92" s="3">
        <v>187</v>
      </c>
      <c r="C92" s="305" t="s">
        <v>302</v>
      </c>
      <c r="D92" s="66">
        <f>jährlicher_Stromverbrauch*Eing_Strompreis*1000</f>
        <v>6233.333333333333</v>
      </c>
      <c r="E92" s="1" t="s">
        <v>43</v>
      </c>
      <c r="M92" s="274"/>
      <c r="O92" s="264"/>
      <c r="P92" s="264"/>
      <c r="Q92" s="264"/>
      <c r="R92" s="264"/>
      <c r="S92" s="264"/>
      <c r="T92" s="264"/>
      <c r="U92" s="264"/>
      <c r="V92" s="264"/>
      <c r="W92" s="264"/>
      <c r="X92" s="264"/>
      <c r="Y92" s="264"/>
      <c r="Z92" s="264"/>
    </row>
    <row r="93" spans="1:26" ht="12.95" customHeight="1" x14ac:dyDescent="0.2">
      <c r="A93" s="290"/>
      <c r="C93" s="305"/>
      <c r="D93" s="327"/>
      <c r="E93" s="1"/>
      <c r="O93" s="264"/>
      <c r="P93" s="264"/>
      <c r="Q93" s="264"/>
      <c r="R93" s="264"/>
      <c r="S93" s="264"/>
      <c r="T93" s="264"/>
      <c r="U93" s="264"/>
      <c r="V93" s="264"/>
      <c r="W93" s="264"/>
      <c r="X93" s="264"/>
      <c r="Y93" s="264"/>
      <c r="Z93" s="264"/>
    </row>
    <row r="94" spans="1:26" ht="12.95" customHeight="1" x14ac:dyDescent="0.2">
      <c r="A94" s="3">
        <v>190</v>
      </c>
      <c r="C94" s="322" t="s">
        <v>26</v>
      </c>
      <c r="D94" s="66">
        <f>Gesamtinvestition</f>
        <v>1635000</v>
      </c>
      <c r="E94" s="1" t="s">
        <v>42</v>
      </c>
      <c r="M94" s="274"/>
      <c r="O94" s="264"/>
      <c r="P94" s="264"/>
      <c r="Q94" s="264"/>
      <c r="R94" s="264"/>
      <c r="S94" s="264"/>
      <c r="T94" s="264"/>
      <c r="U94" s="264"/>
      <c r="V94" s="264"/>
      <c r="W94" s="264"/>
      <c r="X94" s="264"/>
      <c r="Y94" s="264"/>
      <c r="Z94" s="264"/>
    </row>
    <row r="95" spans="1:26" ht="12.95" customHeight="1" x14ac:dyDescent="0.2">
      <c r="A95" s="3">
        <v>191</v>
      </c>
      <c r="C95" s="305" t="s">
        <v>303</v>
      </c>
      <c r="D95" s="66">
        <f>Einmaliger_Förderbeitrag_1+Einmaliger_Förderbeitrag_2+(jährlicher_Förderbeitrag*Eing_Förderung_wiederholend_Laufzeit)</f>
        <v>359000</v>
      </c>
      <c r="E95" s="1" t="s">
        <v>42</v>
      </c>
      <c r="M95" s="274"/>
      <c r="O95" s="264"/>
      <c r="P95" s="264"/>
      <c r="Q95" s="264"/>
      <c r="R95" s="264"/>
      <c r="S95" s="264"/>
      <c r="T95" s="264"/>
      <c r="U95" s="264"/>
      <c r="V95" s="264"/>
      <c r="W95" s="264"/>
      <c r="X95" s="264"/>
      <c r="Y95" s="264"/>
      <c r="Z95" s="264"/>
    </row>
    <row r="96" spans="1:26" ht="12.95" customHeight="1" x14ac:dyDescent="0.2">
      <c r="C96" s="105"/>
      <c r="D96" s="105"/>
      <c r="E96" s="105"/>
      <c r="R96" s="264"/>
      <c r="S96" s="264"/>
      <c r="T96" s="264"/>
      <c r="U96" s="264"/>
      <c r="V96" s="264"/>
      <c r="W96" s="264"/>
      <c r="X96" s="264"/>
      <c r="Y96" s="264"/>
      <c r="Z96" s="264"/>
    </row>
    <row r="97" spans="1:26" ht="12.95" customHeight="1" x14ac:dyDescent="0.2">
      <c r="A97" s="53">
        <v>192</v>
      </c>
      <c r="B97" s="265" t="s">
        <v>491</v>
      </c>
      <c r="C97" s="105"/>
      <c r="D97" s="328" t="s">
        <v>390</v>
      </c>
      <c r="E97" s="105"/>
      <c r="F97" s="309" t="s">
        <v>482</v>
      </c>
      <c r="R97" s="264"/>
      <c r="S97" s="264"/>
      <c r="T97" s="264"/>
      <c r="U97" s="264"/>
      <c r="V97" s="264"/>
      <c r="W97" s="264"/>
      <c r="X97" s="264"/>
      <c r="Y97" s="264"/>
      <c r="Z97" s="264"/>
    </row>
    <row r="98" spans="1:26" x14ac:dyDescent="0.2">
      <c r="A98" s="53">
        <v>193</v>
      </c>
      <c r="B98" s="105" t="s">
        <v>484</v>
      </c>
      <c r="C98" s="305" t="s">
        <v>492</v>
      </c>
      <c r="D98" s="323">
        <f>ROUND(PMT(Eing_Realzins/100,SUMPRODUCT(D48:D51,I48:I51)/SUM(D48:D51),SUM(D48:D51,0.5*Eing_Kosten_Planung_QM))*-1,0)</f>
        <v>35160</v>
      </c>
      <c r="E98" s="105" t="s">
        <v>43</v>
      </c>
      <c r="F98" s="105">
        <f t="shared" ref="F98:F104" si="9">ROUND(D98/Eing_verkaufteWM/10,2)</f>
        <v>1.88</v>
      </c>
      <c r="G98" s="105" t="s">
        <v>483</v>
      </c>
      <c r="M98" s="274"/>
      <c r="R98" s="264"/>
      <c r="S98" s="264"/>
      <c r="T98" s="264"/>
      <c r="U98" s="264"/>
      <c r="V98" s="264"/>
      <c r="W98" s="264"/>
      <c r="X98" s="264"/>
      <c r="Y98" s="264"/>
      <c r="Z98" s="264"/>
    </row>
    <row r="99" spans="1:26" x14ac:dyDescent="0.2">
      <c r="A99" s="53">
        <v>194</v>
      </c>
      <c r="C99" s="305" t="s">
        <v>493</v>
      </c>
      <c r="D99" s="323">
        <f>ROUND(PMT(Eing_Realzins/100,SUMPRODUCT(D52:D54,I52:I54)/SUM(D52:D54),SUM(D52:D54,0.5*Eing_Kosten_Planung_QM))*-1,0)</f>
        <v>28259</v>
      </c>
      <c r="E99" s="105" t="s">
        <v>43</v>
      </c>
      <c r="F99" s="105">
        <f t="shared" si="9"/>
        <v>1.51</v>
      </c>
      <c r="G99" s="105" t="s">
        <v>483</v>
      </c>
      <c r="M99" s="274"/>
      <c r="R99" s="264"/>
      <c r="S99" s="264"/>
      <c r="T99" s="264"/>
      <c r="U99" s="264"/>
      <c r="V99" s="264"/>
      <c r="W99" s="264"/>
      <c r="X99" s="264"/>
      <c r="Y99" s="264"/>
      <c r="Z99" s="264"/>
    </row>
    <row r="100" spans="1:26" x14ac:dyDescent="0.2">
      <c r="A100" s="53">
        <v>195</v>
      </c>
      <c r="C100" s="305" t="s">
        <v>494</v>
      </c>
      <c r="D100" s="323">
        <f>SUM(D35:D37,D39:D40)-D101</f>
        <v>35976.987447698746</v>
      </c>
      <c r="E100" s="105" t="s">
        <v>43</v>
      </c>
      <c r="F100" s="105">
        <f t="shared" si="9"/>
        <v>1.92</v>
      </c>
      <c r="G100" s="105" t="s">
        <v>483</v>
      </c>
      <c r="M100" s="274"/>
      <c r="R100" s="264"/>
      <c r="S100" s="264"/>
      <c r="T100" s="264"/>
      <c r="U100" s="264"/>
      <c r="V100" s="264"/>
      <c r="W100" s="264"/>
      <c r="X100" s="264"/>
      <c r="Y100" s="264"/>
      <c r="Z100" s="264"/>
    </row>
    <row r="101" spans="1:26" x14ac:dyDescent="0.2">
      <c r="A101" s="53">
        <v>196</v>
      </c>
      <c r="C101" s="305" t="s">
        <v>495</v>
      </c>
      <c r="D101" s="323">
        <f>(SUMPRODUCT(D52:D54,F52:F54)+0.5*Eing_Kosten_Planung_QM*F55)/100+((SUMPRODUCT(D52:D54,F52:F54)+0.5*Eing_Kosten_Planung_QM*F55)/100)/Eing_Unterhaltskosten*SUM(D35:D36,D39:D40)</f>
        <v>23323.012552301254</v>
      </c>
      <c r="E101" s="105" t="s">
        <v>43</v>
      </c>
      <c r="F101" s="105">
        <f t="shared" si="9"/>
        <v>1.25</v>
      </c>
      <c r="G101" s="105" t="s">
        <v>483</v>
      </c>
      <c r="M101" s="274"/>
      <c r="R101" s="264"/>
      <c r="S101" s="264"/>
      <c r="T101" s="264"/>
      <c r="U101" s="264"/>
      <c r="V101" s="264"/>
      <c r="W101" s="264"/>
      <c r="X101" s="264"/>
      <c r="Y101" s="264"/>
      <c r="Z101" s="264"/>
    </row>
    <row r="102" spans="1:26" x14ac:dyDescent="0.2">
      <c r="A102" s="53">
        <v>197</v>
      </c>
      <c r="C102" s="305" t="s">
        <v>139</v>
      </c>
      <c r="D102" s="323">
        <f>SUM(D90:D92)</f>
        <v>134536.11111111112</v>
      </c>
      <c r="E102" s="105" t="s">
        <v>43</v>
      </c>
      <c r="F102" s="105">
        <f t="shared" si="9"/>
        <v>7.19</v>
      </c>
      <c r="G102" s="105" t="s">
        <v>483</v>
      </c>
      <c r="M102" s="274"/>
      <c r="R102" s="264"/>
      <c r="S102" s="264"/>
      <c r="T102" s="264"/>
      <c r="U102" s="264"/>
      <c r="V102" s="264"/>
      <c r="W102" s="264"/>
      <c r="X102" s="264"/>
      <c r="Y102" s="264"/>
      <c r="Z102" s="264"/>
    </row>
    <row r="103" spans="1:26" x14ac:dyDescent="0.2">
      <c r="A103" s="53">
        <v>198</v>
      </c>
      <c r="C103" s="310" t="s">
        <v>390</v>
      </c>
      <c r="D103" s="319">
        <f>SUM(D98:D102)</f>
        <v>257255.11111111112</v>
      </c>
      <c r="E103" s="265" t="s">
        <v>43</v>
      </c>
      <c r="F103" s="265">
        <f t="shared" si="9"/>
        <v>13.76</v>
      </c>
      <c r="G103" s="265" t="s">
        <v>483</v>
      </c>
      <c r="M103" s="274"/>
      <c r="R103" s="264"/>
      <c r="S103" s="264"/>
      <c r="T103" s="264"/>
      <c r="U103" s="264"/>
      <c r="V103" s="264"/>
      <c r="W103" s="264"/>
      <c r="X103" s="264"/>
      <c r="Y103" s="264"/>
      <c r="Z103" s="264"/>
    </row>
    <row r="104" spans="1:26" x14ac:dyDescent="0.2">
      <c r="A104" s="53">
        <v>199</v>
      </c>
      <c r="C104" s="371" t="s">
        <v>553</v>
      </c>
      <c r="D104" s="323">
        <f>ROUND(PMT(Eing_Realzins/100,25,SUM(Einmaliger_Förderbeitrag_1,Einmaliger_Förderbeitrag_2,Eing_Förderung_wiederholend_Laufzeit*jährlicher_Förderbeitrag)),0)</f>
        <v>-18388</v>
      </c>
      <c r="E104" s="372" t="s">
        <v>43</v>
      </c>
      <c r="F104" s="105">
        <f t="shared" si="9"/>
        <v>-0.98</v>
      </c>
      <c r="G104" s="372" t="s">
        <v>483</v>
      </c>
      <c r="R104" s="264"/>
      <c r="S104" s="264"/>
      <c r="T104" s="264"/>
      <c r="U104" s="264"/>
      <c r="V104" s="264"/>
      <c r="W104" s="264"/>
      <c r="X104" s="264"/>
      <c r="Y104" s="264"/>
      <c r="Z104" s="264"/>
    </row>
    <row r="105" spans="1:26" x14ac:dyDescent="0.2">
      <c r="A105" s="53">
        <v>198</v>
      </c>
      <c r="C105" s="310" t="s">
        <v>554</v>
      </c>
      <c r="D105" s="323">
        <f>SUM(D103:D104)</f>
        <v>238867.11111111112</v>
      </c>
      <c r="E105" s="265" t="s">
        <v>43</v>
      </c>
      <c r="F105" s="373">
        <f>SUM(F103:F104)</f>
        <v>12.78</v>
      </c>
      <c r="G105" s="265" t="s">
        <v>483</v>
      </c>
      <c r="R105" s="264"/>
      <c r="S105" s="264"/>
      <c r="T105" s="264"/>
      <c r="U105" s="264"/>
      <c r="V105" s="264"/>
      <c r="W105" s="264"/>
      <c r="X105" s="264"/>
      <c r="Y105" s="264"/>
      <c r="Z105" s="264"/>
    </row>
    <row r="106" spans="1:26" x14ac:dyDescent="0.2">
      <c r="C106" s="105"/>
      <c r="D106" s="105"/>
      <c r="E106" s="105"/>
      <c r="R106" s="264"/>
      <c r="S106" s="264"/>
      <c r="T106" s="264"/>
      <c r="U106" s="264"/>
      <c r="V106" s="264"/>
      <c r="W106" s="264"/>
      <c r="X106" s="264"/>
      <c r="Y106" s="264"/>
      <c r="Z106" s="264"/>
    </row>
    <row r="107" spans="1:26" hidden="1" x14ac:dyDescent="0.2">
      <c r="C107" s="105"/>
      <c r="D107" s="105"/>
      <c r="E107" s="105"/>
      <c r="R107" s="264"/>
      <c r="S107" s="264"/>
      <c r="T107" s="264"/>
      <c r="U107" s="264"/>
      <c r="V107" s="264"/>
      <c r="W107" s="264"/>
      <c r="X107" s="264"/>
      <c r="Y107" s="264"/>
      <c r="Z107" s="264"/>
    </row>
    <row r="108" spans="1:26" hidden="1" x14ac:dyDescent="0.2">
      <c r="C108" s="105"/>
      <c r="D108" s="105"/>
      <c r="E108" s="105"/>
      <c r="R108" s="264"/>
      <c r="S108" s="264"/>
      <c r="T108" s="264"/>
      <c r="U108" s="264"/>
      <c r="V108" s="264"/>
      <c r="W108" s="264"/>
      <c r="X108" s="264"/>
      <c r="Y108" s="264"/>
      <c r="Z108" s="264"/>
    </row>
    <row r="109" spans="1:26" hidden="1" x14ac:dyDescent="0.2">
      <c r="C109" s="105"/>
      <c r="D109" s="105"/>
      <c r="E109" s="105"/>
      <c r="R109" s="264"/>
      <c r="S109" s="264"/>
      <c r="T109" s="264"/>
      <c r="U109" s="264"/>
      <c r="V109" s="264"/>
      <c r="W109" s="264"/>
      <c r="X109" s="264"/>
      <c r="Y109" s="264"/>
      <c r="Z109" s="264"/>
    </row>
    <row r="110" spans="1:26" hidden="1" x14ac:dyDescent="0.2">
      <c r="C110" s="105"/>
      <c r="D110" s="105"/>
      <c r="E110" s="105"/>
      <c r="R110" s="264"/>
      <c r="S110" s="264"/>
      <c r="T110" s="264"/>
      <c r="U110" s="264"/>
      <c r="V110" s="264"/>
      <c r="W110" s="264"/>
      <c r="X110" s="264"/>
      <c r="Y110" s="264"/>
      <c r="Z110" s="264"/>
    </row>
    <row r="111" spans="1:26" hidden="1" x14ac:dyDescent="0.2">
      <c r="C111" s="105"/>
      <c r="D111" s="105"/>
      <c r="E111" s="105"/>
      <c r="R111" s="264"/>
      <c r="S111" s="264"/>
      <c r="T111" s="264"/>
      <c r="U111" s="264"/>
      <c r="V111" s="264"/>
      <c r="W111" s="264"/>
      <c r="X111" s="264"/>
      <c r="Y111" s="264"/>
      <c r="Z111" s="264"/>
    </row>
    <row r="112" spans="1:26" hidden="1" x14ac:dyDescent="0.2">
      <c r="C112" s="105"/>
      <c r="D112" s="105"/>
      <c r="E112" s="105"/>
      <c r="O112" s="264"/>
      <c r="P112" s="264"/>
      <c r="Q112" s="264"/>
      <c r="R112" s="264"/>
      <c r="S112" s="264"/>
      <c r="T112" s="264"/>
      <c r="U112" s="264"/>
      <c r="V112" s="264"/>
      <c r="W112" s="264"/>
      <c r="X112" s="264"/>
      <c r="Y112" s="264"/>
      <c r="Z112" s="264"/>
    </row>
    <row r="113" spans="3:26" hidden="1" x14ac:dyDescent="0.2">
      <c r="C113" s="105"/>
      <c r="D113" s="105"/>
      <c r="E113" s="105"/>
      <c r="O113" s="264"/>
      <c r="P113" s="264"/>
      <c r="Q113" s="264"/>
      <c r="R113" s="264"/>
      <c r="S113" s="264"/>
      <c r="T113" s="264"/>
      <c r="U113" s="264"/>
      <c r="V113" s="264"/>
      <c r="W113" s="264"/>
      <c r="X113" s="264"/>
      <c r="Y113" s="264"/>
      <c r="Z113" s="264"/>
    </row>
    <row r="114" spans="3:26" hidden="1" x14ac:dyDescent="0.2">
      <c r="C114" s="105"/>
      <c r="D114" s="105"/>
      <c r="E114" s="105"/>
      <c r="O114" s="264"/>
      <c r="P114" s="264"/>
      <c r="Q114" s="264"/>
      <c r="R114" s="264"/>
      <c r="S114" s="264"/>
      <c r="T114" s="264"/>
      <c r="U114" s="264"/>
      <c r="V114" s="264"/>
      <c r="W114" s="264"/>
      <c r="X114" s="264"/>
      <c r="Y114" s="264"/>
      <c r="Z114" s="264"/>
    </row>
    <row r="115" spans="3:26" hidden="1" x14ac:dyDescent="0.2">
      <c r="C115" s="105"/>
      <c r="D115" s="105"/>
      <c r="E115" s="105"/>
      <c r="O115" s="264"/>
      <c r="P115" s="264"/>
      <c r="Q115" s="264"/>
      <c r="R115" s="264"/>
      <c r="S115" s="264"/>
      <c r="T115" s="264"/>
      <c r="U115" s="264"/>
      <c r="V115" s="264"/>
      <c r="W115" s="264"/>
      <c r="X115" s="264"/>
      <c r="Y115" s="264"/>
      <c r="Z115" s="264"/>
    </row>
    <row r="116" spans="3:26" hidden="1" x14ac:dyDescent="0.2">
      <c r="C116" s="105"/>
      <c r="D116" s="105"/>
      <c r="E116" s="105"/>
      <c r="O116" s="264"/>
      <c r="P116" s="264"/>
      <c r="Q116" s="264"/>
      <c r="R116" s="264"/>
      <c r="S116" s="264"/>
      <c r="T116" s="264"/>
      <c r="U116" s="264"/>
      <c r="V116" s="264"/>
      <c r="W116" s="264"/>
      <c r="X116" s="264"/>
      <c r="Y116" s="264"/>
      <c r="Z116" s="264"/>
    </row>
    <row r="117" spans="3:26" hidden="1" x14ac:dyDescent="0.2">
      <c r="C117" s="105"/>
      <c r="D117" s="105"/>
      <c r="E117" s="105"/>
      <c r="O117" s="264"/>
      <c r="P117" s="264"/>
      <c r="Q117" s="264"/>
      <c r="R117" s="264"/>
      <c r="S117" s="264"/>
      <c r="T117" s="264"/>
      <c r="U117" s="264"/>
      <c r="V117" s="264"/>
      <c r="W117" s="264"/>
      <c r="X117" s="264"/>
      <c r="Y117" s="264"/>
      <c r="Z117" s="264"/>
    </row>
    <row r="118" spans="3:26" hidden="1" x14ac:dyDescent="0.2">
      <c r="C118" s="105"/>
      <c r="D118" s="105"/>
      <c r="E118" s="105"/>
      <c r="O118" s="264"/>
      <c r="P118" s="264"/>
      <c r="Q118" s="264"/>
      <c r="R118" s="264"/>
      <c r="S118" s="264"/>
      <c r="T118" s="264"/>
      <c r="U118" s="264"/>
      <c r="V118" s="264"/>
      <c r="W118" s="264"/>
      <c r="X118" s="264"/>
      <c r="Y118" s="264"/>
      <c r="Z118" s="264"/>
    </row>
    <row r="119" spans="3:26" hidden="1" x14ac:dyDescent="0.2">
      <c r="C119" s="105"/>
      <c r="D119" s="105"/>
      <c r="E119" s="105"/>
      <c r="O119" s="264"/>
      <c r="P119" s="264"/>
      <c r="Q119" s="264"/>
      <c r="R119" s="264"/>
      <c r="S119" s="264"/>
      <c r="T119" s="264"/>
      <c r="U119" s="264"/>
      <c r="V119" s="264"/>
      <c r="W119" s="264"/>
      <c r="X119" s="264"/>
      <c r="Y119" s="264"/>
      <c r="Z119" s="264"/>
    </row>
    <row r="120" spans="3:26" hidden="1" x14ac:dyDescent="0.2">
      <c r="C120" s="105"/>
      <c r="D120" s="105"/>
      <c r="E120" s="105"/>
      <c r="O120" s="264"/>
      <c r="P120" s="264"/>
      <c r="Q120" s="264"/>
      <c r="R120" s="264"/>
      <c r="S120" s="264"/>
      <c r="T120" s="264"/>
      <c r="U120" s="264"/>
      <c r="V120" s="264"/>
      <c r="W120" s="264"/>
      <c r="X120" s="264"/>
      <c r="Y120" s="264"/>
      <c r="Z120" s="264"/>
    </row>
  </sheetData>
  <sheetProtection algorithmName="SHA-512" hashValue="I1dmU42yIzLGYxbOJfs7Eo+WrPQFK/LtIt8bZqS8sxzkFcDSxSxKesVTLfQrerWi7IK2MtUzco1OzveKGj1ZTQ==" saltValue="RQax5zosN8u3SPvGJ2qY9w==" spinCount="100000" sheet="1" objects="1" scenarios="1"/>
  <phoneticPr fontId="8" type="noConversion"/>
  <dataValidations disablePrompts="1" count="1">
    <dataValidation type="whole" operator="greaterThan" allowBlank="1" showErrorMessage="1" errorTitle="Zahl grösser 0 eintragen" error="Nutzungsdauer in Jahre eintragen (&gt;0)" sqref="I48:I54" xr:uid="{00000000-0002-0000-0100-000000000000}">
      <formula1>0</formula1>
    </dataValidation>
  </dataValidations>
  <hyperlinks>
    <hyperlink ref="A1" location="I1_100" display="I1_100" xr:uid="{00000000-0004-0000-0100-000000000000}"/>
    <hyperlink ref="A4" location="I1_102" display="I1_102" xr:uid="{00000000-0004-0000-0100-000001000000}"/>
    <hyperlink ref="A5" location="I1_105" display="I1_105" xr:uid="{00000000-0004-0000-0100-000002000000}"/>
    <hyperlink ref="A7" location="I1_106" display="I1_106" xr:uid="{00000000-0004-0000-0100-000003000000}"/>
    <hyperlink ref="A11" location="I1_107" display="I1_107" xr:uid="{00000000-0004-0000-0100-000004000000}"/>
    <hyperlink ref="A13" location="I1_108" display="I1_108" xr:uid="{00000000-0004-0000-0100-000005000000}"/>
    <hyperlink ref="A16" location="I1_110" display="I1_110" xr:uid="{00000000-0004-0000-0100-000006000000}"/>
    <hyperlink ref="A17" location="I1_111" display="I1_111" xr:uid="{00000000-0004-0000-0100-000007000000}"/>
    <hyperlink ref="A18" location="I1_112" display="I1_112" xr:uid="{00000000-0004-0000-0100-000008000000}"/>
    <hyperlink ref="A21" location="I1_114" display="I1_114" xr:uid="{00000000-0004-0000-0100-000009000000}"/>
    <hyperlink ref="A22" location="I1_115" display="I1_115" xr:uid="{00000000-0004-0000-0100-00000A000000}"/>
    <hyperlink ref="A24" location="I1_120" display="I1_120" xr:uid="{00000000-0004-0000-0100-00000B000000}"/>
    <hyperlink ref="A25" location="I1_121" display="I1_121" xr:uid="{00000000-0004-0000-0100-00000C000000}"/>
    <hyperlink ref="A26" location="I1_122" display="I1_122" xr:uid="{00000000-0004-0000-0100-00000D000000}"/>
    <hyperlink ref="A27" location="I1_123" display="I1_123" xr:uid="{00000000-0004-0000-0100-00000E000000}"/>
    <hyperlink ref="A28" location="I1_124" display="I1_124" xr:uid="{00000000-0004-0000-0100-00000F000000}"/>
    <hyperlink ref="A29" location="I1_125" display="I1_125" xr:uid="{00000000-0004-0000-0100-000010000000}"/>
    <hyperlink ref="A31" location="I1_126" display="I1_126" xr:uid="{00000000-0004-0000-0100-000011000000}"/>
    <hyperlink ref="A32" location="I1_127" display="I1_127" xr:uid="{00000000-0004-0000-0100-000012000000}"/>
    <hyperlink ref="A35" location="I1_130" display="I1_130" xr:uid="{00000000-0004-0000-0100-000013000000}"/>
    <hyperlink ref="A36" location="I1_131" display="I1_131" xr:uid="{00000000-0004-0000-0100-000014000000}"/>
    <hyperlink ref="A37" location="I1_132" display="I1_132" xr:uid="{00000000-0004-0000-0100-000015000000}"/>
    <hyperlink ref="A39" location="I1_135" display="I1_135" xr:uid="{00000000-0004-0000-0100-000016000000}"/>
    <hyperlink ref="A40" location="I1_136" display="I1_136" xr:uid="{00000000-0004-0000-0100-000017000000}"/>
    <hyperlink ref="A41" location="I1_137" display="I1_137" xr:uid="{00000000-0004-0000-0100-000018000000}"/>
    <hyperlink ref="A45" location="I1_140" display="I1_140" xr:uid="{00000000-0004-0000-0100-000019000000}"/>
    <hyperlink ref="D45" location="I1_141" display="I1_141" xr:uid="{00000000-0004-0000-0100-00001A000000}"/>
    <hyperlink ref="F45:G45" location="I1_142" display="I1_142" xr:uid="{00000000-0004-0000-0100-00001B000000}"/>
    <hyperlink ref="I45" location="I1_143" display="I1_143" xr:uid="{00000000-0004-0000-0100-00001C000000}"/>
    <hyperlink ref="A3" location="I1_101" display="I1_101" xr:uid="{00000000-0004-0000-0100-00001D000000}"/>
    <hyperlink ref="A47" location="I1_150" display="I1_150" xr:uid="{00000000-0004-0000-0100-00001E000000}"/>
    <hyperlink ref="A48" location="I1_151" display="I1_151" xr:uid="{00000000-0004-0000-0100-00001F000000}"/>
    <hyperlink ref="A49" location="I1_152" display="I1_152" xr:uid="{00000000-0004-0000-0100-000020000000}"/>
    <hyperlink ref="A50" location="I1_153" display="I1_153" xr:uid="{00000000-0004-0000-0100-000021000000}"/>
    <hyperlink ref="A51" location="I1_154" display="I1_154" xr:uid="{00000000-0004-0000-0100-000022000000}"/>
    <hyperlink ref="A52" location="I1_155" display="I1_155" xr:uid="{00000000-0004-0000-0100-000023000000}"/>
    <hyperlink ref="A53" location="I1_156" display="I1_156" xr:uid="{00000000-0004-0000-0100-000024000000}"/>
    <hyperlink ref="A54" location="I1_157" display="I1_157" xr:uid="{00000000-0004-0000-0100-000025000000}"/>
    <hyperlink ref="A55" location="I1_158" display="I1_158" xr:uid="{00000000-0004-0000-0100-000026000000}"/>
    <hyperlink ref="A56" location="I1_159" display="I1_159" xr:uid="{00000000-0004-0000-0100-000027000000}"/>
    <hyperlink ref="A57" location="I1_160" display="I1_160" xr:uid="{00000000-0004-0000-0100-000028000000}"/>
    <hyperlink ref="A58" location="I1_161" display="I1_161" xr:uid="{00000000-0004-0000-0100-000029000000}"/>
    <hyperlink ref="A59" location="I1_162" display="I1_162" xr:uid="{00000000-0004-0000-0100-00002A000000}"/>
    <hyperlink ref="A60" location="I1_163" display="I1_163" xr:uid="{00000000-0004-0000-0100-00002B000000}"/>
    <hyperlink ref="A62" location="I1_165" display="I1_165" xr:uid="{00000000-0004-0000-0100-00002C000000}"/>
    <hyperlink ref="A63" location="I1_166" display="I1_166" xr:uid="{00000000-0004-0000-0100-00002D000000}"/>
    <hyperlink ref="A64" location="I1_167" display="I1_167" xr:uid="{00000000-0004-0000-0100-00002E000000}"/>
    <hyperlink ref="A65" location="I1_168" display="I1_168" xr:uid="{00000000-0004-0000-0100-00002F000000}"/>
    <hyperlink ref="A66" location="I1_169" display="I1_169" xr:uid="{00000000-0004-0000-0100-000030000000}"/>
    <hyperlink ref="A69" location="I1_166" display="I1_166" xr:uid="{00000000-0004-0000-0100-000031000000}"/>
    <hyperlink ref="A70" location="I1_167" display="I1_167" xr:uid="{00000000-0004-0000-0100-000032000000}"/>
    <hyperlink ref="A71" location="I1_168" display="I1_168" xr:uid="{00000000-0004-0000-0100-000033000000}"/>
    <hyperlink ref="A72" location="I1_169" display="I1_169" xr:uid="{00000000-0004-0000-0100-000034000000}"/>
    <hyperlink ref="A74" location="I1_170" display="I1_170" xr:uid="{00000000-0004-0000-0100-000035000000}"/>
    <hyperlink ref="A75" location="I1_171" display="I1_171" xr:uid="{00000000-0004-0000-0100-000036000000}"/>
    <hyperlink ref="A76" location="I1_172" display="I1_172" xr:uid="{00000000-0004-0000-0100-000037000000}"/>
    <hyperlink ref="A77" location="I1_173" display="I1_173" xr:uid="{00000000-0004-0000-0100-000038000000}"/>
    <hyperlink ref="A78" location="I1_174" display="I1_174" xr:uid="{00000000-0004-0000-0100-000039000000}"/>
    <hyperlink ref="A79" location="I1_175" display="I1_175" xr:uid="{00000000-0004-0000-0100-00003A000000}"/>
    <hyperlink ref="A80" location="I1_176" display="I1_176" xr:uid="{00000000-0004-0000-0100-00003B000000}"/>
    <hyperlink ref="A81" location="I1_177" display="I1_177" xr:uid="{00000000-0004-0000-0100-00003C000000}"/>
    <hyperlink ref="A82" location="I1_178" display="I1_178" xr:uid="{00000000-0004-0000-0100-00003D000000}"/>
    <hyperlink ref="A83" location="I1_179" display="I1_179" xr:uid="{00000000-0004-0000-0100-00003E000000}"/>
    <hyperlink ref="A85" location="I1_180" display="I1_180" xr:uid="{00000000-0004-0000-0100-00003F000000}"/>
    <hyperlink ref="A86" location="I1_181" display="I1_181" xr:uid="{00000000-0004-0000-0100-000040000000}"/>
    <hyperlink ref="A87" location="I1_182" display="I1_182" xr:uid="{00000000-0004-0000-0100-000041000000}"/>
    <hyperlink ref="A88" location="I1_183" display="I1_183" xr:uid="{00000000-0004-0000-0100-000042000000}"/>
    <hyperlink ref="A89" location="I1_184" display="I1_184" xr:uid="{00000000-0004-0000-0100-000043000000}"/>
    <hyperlink ref="A90" location="I1_185" display="I1_185" xr:uid="{00000000-0004-0000-0100-000044000000}"/>
    <hyperlink ref="A91" location="I1_186" display="I1_186" xr:uid="{00000000-0004-0000-0100-000045000000}"/>
    <hyperlink ref="A92" location="I1_187" display="I1_187" xr:uid="{00000000-0004-0000-0100-000046000000}"/>
    <hyperlink ref="A94" location="I1_190" display="I1_190" xr:uid="{00000000-0004-0000-0100-000047000000}"/>
    <hyperlink ref="A95" location="I1_191" display="I1_191" xr:uid="{00000000-0004-0000-0100-000048000000}"/>
    <hyperlink ref="A19" location="i1_113" display="i1_113" xr:uid="{93F1B421-60E4-442E-B2A7-5895F512789B}"/>
    <hyperlink ref="A42" location="I1_138" display="I1_138" xr:uid="{D3AC80E1-5D4F-4D33-B91E-70DB97563069}"/>
    <hyperlink ref="A43" location="I1_139" display="I1_139" xr:uid="{7D624401-FA26-482C-8EF8-5012FD5168C1}"/>
    <hyperlink ref="A97" location="I1_192" display="I1_192" xr:uid="{8A41F2B5-1F9B-4BDB-A0A1-10AF1436F88D}"/>
    <hyperlink ref="A98" location="I1_193" display="I1_193" xr:uid="{BAA45EF2-0B21-4677-BD7F-5E25C36B23CB}"/>
    <hyperlink ref="A99" location="I1_194" display="I1_194" xr:uid="{2E772FFC-23F0-45D4-8AE4-2C466B0329A6}"/>
    <hyperlink ref="A100" location="I1_195" display="I1_195" xr:uid="{D4557628-498D-476E-B135-895D886AC759}"/>
    <hyperlink ref="A101" location="I1_196" display="I1_196" xr:uid="{8A52A136-B451-49E7-9312-6AAE14E28671}"/>
    <hyperlink ref="A102" location="I1_197" display="I1_197" xr:uid="{2E5A9AE8-4136-4186-B9BC-F6069934F1B4}"/>
    <hyperlink ref="A103" location="I1_198" display="I1_198" xr:uid="{D11800CC-49C7-4D4C-A2C9-2307050E8461}"/>
    <hyperlink ref="A104" location="I1_199" display="I1_199" xr:uid="{E4236A8A-5B0B-4932-A4F2-595460CEF0A5}"/>
    <hyperlink ref="A105" location="I1_198" display="I1_198" xr:uid="{A263EC33-3EBC-4B29-9A78-3398C28AE9A3}"/>
  </hyperlinks>
  <pageMargins left="0.78740157480314965" right="0.6692913385826772" top="1.1417322834645669" bottom="1.3385826771653544" header="0.51181102362204722" footer="0.51181102362204722"/>
  <pageSetup paperSize="9" scale="53" fitToHeight="0" orientation="portrait" r:id="rId1"/>
  <headerFooter alignWithMargins="0">
    <oddHeader>&amp;L&amp;G&amp;R&amp;G</oddHeader>
    <oddFooter>&amp;L&amp;"Arial,Standard"&amp;10&amp;F&amp;C&amp;"Arial,Standard"&amp;10&amp;P / &amp;N &amp;R&amp;"Arial,Standard"&amp;10&amp;D</oddFooter>
  </headerFooter>
  <rowBreaks count="1" manualBreakCount="1">
    <brk id="8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K41"/>
  <sheetViews>
    <sheetView zoomScaleNormal="100" workbookViewId="0">
      <selection activeCell="G30" sqref="G30"/>
    </sheetView>
  </sheetViews>
  <sheetFormatPr baseColWidth="10" defaultColWidth="0" defaultRowHeight="12.75" zeroHeight="1" x14ac:dyDescent="0.2"/>
  <cols>
    <col min="1" max="1" width="3.85546875" style="105" customWidth="1"/>
    <col min="2" max="2" width="10.85546875" style="105" customWidth="1"/>
    <col min="3" max="3" width="3.7109375" style="105" customWidth="1"/>
    <col min="4" max="4" width="16.7109375" style="105" customWidth="1"/>
    <col min="5" max="5" width="6.85546875" style="105" customWidth="1"/>
    <col min="6" max="6" width="12.28515625" style="105" customWidth="1"/>
    <col min="7" max="8" width="10.85546875" style="105" customWidth="1"/>
    <col min="9" max="9" width="17.28515625" style="105" customWidth="1"/>
    <col min="10" max="10" width="2.140625" style="264" customWidth="1"/>
    <col min="11" max="11" width="40.7109375" style="105" customWidth="1"/>
    <col min="12" max="16384" width="10.85546875" style="105" hidden="1"/>
  </cols>
  <sheetData>
    <row r="1" spans="1:11" ht="17.100000000000001" customHeight="1" x14ac:dyDescent="0.25">
      <c r="A1" s="3">
        <v>200</v>
      </c>
      <c r="B1" s="364" t="s">
        <v>208</v>
      </c>
    </row>
    <row r="2" spans="1:11" ht="12.95" customHeight="1" x14ac:dyDescent="0.2">
      <c r="B2" s="265"/>
    </row>
    <row r="3" spans="1:11" ht="12.95" customHeight="1" x14ac:dyDescent="0.2">
      <c r="A3" s="3">
        <v>101</v>
      </c>
      <c r="D3" s="230" t="s">
        <v>4</v>
      </c>
    </row>
    <row r="4" spans="1:11" ht="12.95" customHeight="1" x14ac:dyDescent="0.2">
      <c r="A4" s="3">
        <v>105</v>
      </c>
      <c r="B4" s="105" t="s">
        <v>75</v>
      </c>
      <c r="D4" s="103"/>
    </row>
    <row r="5" spans="1:11" s="265" customFormat="1" ht="12.95" customHeight="1" x14ac:dyDescent="0.2">
      <c r="A5" s="105"/>
      <c r="E5" s="266"/>
      <c r="H5" s="267"/>
      <c r="I5" s="105"/>
      <c r="J5" s="264"/>
      <c r="K5" s="105"/>
    </row>
    <row r="6" spans="1:11" ht="12.95" customHeight="1" x14ac:dyDescent="0.2">
      <c r="A6" s="3">
        <v>206</v>
      </c>
      <c r="B6" s="265" t="s">
        <v>47</v>
      </c>
      <c r="D6" s="374" t="str">
        <f>IF(E1_Projektdaten!C7=0,"",E1_Projektdaten!C7)</f>
        <v>QMH Beispielprojekt 2</v>
      </c>
      <c r="E6" s="374"/>
      <c r="F6" s="374"/>
      <c r="G6" s="374"/>
      <c r="H6" s="374"/>
      <c r="I6" s="374"/>
    </row>
    <row r="7" spans="1:11" ht="12.95" customHeight="1" x14ac:dyDescent="0.2">
      <c r="B7" s="265"/>
      <c r="D7" s="374" t="str">
        <f>IF(E1_Projektdaten!C8=0,"",E1_Projektdaten!C8)</f>
        <v>Adresszeile</v>
      </c>
      <c r="E7" s="374"/>
      <c r="F7" s="374"/>
      <c r="G7" s="374"/>
      <c r="H7" s="374"/>
      <c r="I7" s="374"/>
    </row>
    <row r="8" spans="1:11" ht="12.95" customHeight="1" x14ac:dyDescent="0.2">
      <c r="B8" s="265"/>
      <c r="D8" s="374" t="str">
        <f>IF(E1_Projektdaten!C9=0,"",E1_Projektdaten!C9)</f>
        <v>PLZ  Ort</v>
      </c>
      <c r="E8" s="374"/>
      <c r="F8" s="374"/>
      <c r="G8" s="374"/>
      <c r="H8" s="374"/>
      <c r="I8" s="374"/>
    </row>
    <row r="9" spans="1:11" ht="12.95" customHeight="1" x14ac:dyDescent="0.2">
      <c r="B9" s="265"/>
    </row>
    <row r="10" spans="1:11" s="265" customFormat="1" ht="12.95" customHeight="1" x14ac:dyDescent="0.2">
      <c r="A10" s="228">
        <v>207</v>
      </c>
      <c r="B10" s="234" t="s">
        <v>48</v>
      </c>
      <c r="C10" s="235"/>
      <c r="D10" s="375" t="str">
        <f>IF(E1_Projektdaten!C11=0,"",E1_Projektdaten!C11)</f>
        <v>Datum, ErstellerIn</v>
      </c>
      <c r="E10" s="375"/>
      <c r="F10" s="375"/>
      <c r="G10" s="375"/>
      <c r="H10" s="375"/>
      <c r="I10" s="375"/>
      <c r="J10" s="264"/>
      <c r="K10" s="105"/>
    </row>
    <row r="11" spans="1:11" s="265" customFormat="1" ht="12.95" customHeight="1" x14ac:dyDescent="0.2">
      <c r="A11" s="105"/>
      <c r="E11" s="266"/>
      <c r="H11" s="267"/>
      <c r="I11" s="105"/>
      <c r="J11" s="264"/>
      <c r="K11" s="105"/>
    </row>
    <row r="12" spans="1:11" ht="12.95" customHeight="1" x14ac:dyDescent="0.2">
      <c r="A12" s="3">
        <v>210</v>
      </c>
      <c r="B12" s="265" t="s">
        <v>120</v>
      </c>
      <c r="E12" s="1"/>
      <c r="K12" s="265" t="s">
        <v>254</v>
      </c>
    </row>
    <row r="13" spans="1:11" ht="12.95" customHeight="1" thickBot="1" x14ac:dyDescent="0.25">
      <c r="E13" s="1"/>
    </row>
    <row r="14" spans="1:11" ht="12.95" customHeight="1" x14ac:dyDescent="0.2">
      <c r="A14" s="3">
        <v>211</v>
      </c>
      <c r="B14" s="268" t="s">
        <v>61</v>
      </c>
      <c r="C14" s="269"/>
      <c r="D14" s="270" t="s">
        <v>560</v>
      </c>
      <c r="E14" s="271"/>
      <c r="F14" s="269"/>
      <c r="G14" s="272">
        <f>SUMPRODUCT(E3_Verbraucher!$D$18:$XFD$18*(E3_Verbraucher!$D$22:$XFD$22="T 1: "&amp;Eing_Abnehmerart1))/Eing_verkaufteWM*100</f>
        <v>4.8128342245989302</v>
      </c>
      <c r="H14" s="269" t="s">
        <v>7</v>
      </c>
      <c r="I14" s="273"/>
      <c r="K14" s="274"/>
    </row>
    <row r="15" spans="1:11" ht="12.95" customHeight="1" x14ac:dyDescent="0.2">
      <c r="A15" s="3">
        <v>212</v>
      </c>
      <c r="B15" s="275"/>
      <c r="C15" s="276"/>
      <c r="E15" s="80"/>
      <c r="F15" s="277" t="s">
        <v>329</v>
      </c>
      <c r="G15" s="278">
        <v>110</v>
      </c>
      <c r="H15" s="276" t="s">
        <v>330</v>
      </c>
      <c r="I15" s="279"/>
      <c r="K15" s="274"/>
    </row>
    <row r="16" spans="1:11" ht="12.95" customHeight="1" x14ac:dyDescent="0.2">
      <c r="A16" s="3">
        <v>213</v>
      </c>
      <c r="B16" s="275"/>
      <c r="C16" s="276"/>
      <c r="E16" s="80"/>
      <c r="F16" s="277" t="s">
        <v>8</v>
      </c>
      <c r="G16" s="278">
        <v>0.1</v>
      </c>
      <c r="H16" s="276" t="s">
        <v>46</v>
      </c>
      <c r="I16" s="279"/>
      <c r="K16" s="274"/>
    </row>
    <row r="17" spans="1:11" ht="12.95" customHeight="1" x14ac:dyDescent="0.2">
      <c r="A17" s="3">
        <v>214</v>
      </c>
      <c r="B17" s="275"/>
      <c r="C17" s="276"/>
      <c r="E17" s="80"/>
      <c r="F17" s="277" t="s">
        <v>321</v>
      </c>
      <c r="G17" s="278">
        <v>30</v>
      </c>
      <c r="H17" s="276" t="s">
        <v>19</v>
      </c>
      <c r="I17" s="279"/>
      <c r="K17" s="274"/>
    </row>
    <row r="18" spans="1:11" ht="12.95" customHeight="1" thickBot="1" x14ac:dyDescent="0.25">
      <c r="B18" s="280"/>
      <c r="C18" s="281"/>
      <c r="D18" s="281"/>
      <c r="E18" s="282"/>
      <c r="F18" s="281"/>
      <c r="G18" s="281"/>
      <c r="H18" s="281"/>
      <c r="I18" s="283"/>
    </row>
    <row r="19" spans="1:11" ht="12.95" customHeight="1" thickBot="1" x14ac:dyDescent="0.25">
      <c r="E19" s="56"/>
    </row>
    <row r="20" spans="1:11" ht="12.95" customHeight="1" x14ac:dyDescent="0.2">
      <c r="A20" s="3">
        <v>221</v>
      </c>
      <c r="B20" s="268" t="s">
        <v>62</v>
      </c>
      <c r="C20" s="269"/>
      <c r="D20" s="270" t="s">
        <v>561</v>
      </c>
      <c r="E20" s="271"/>
      <c r="F20" s="269"/>
      <c r="G20" s="284">
        <f>SUMPRODUCT(E3_Verbraucher!$D$18:$XFD$18*(E3_Verbraucher!$D$22:$XFD$22="T 2: "&amp;Eing_Abnehmerart2))/Eing_verkaufteWM*100</f>
        <v>14.973262032085561</v>
      </c>
      <c r="H20" s="269" t="s">
        <v>7</v>
      </c>
      <c r="I20" s="273"/>
      <c r="K20" s="274"/>
    </row>
    <row r="21" spans="1:11" ht="12.95" customHeight="1" x14ac:dyDescent="0.2">
      <c r="A21" s="3">
        <v>222</v>
      </c>
      <c r="B21" s="275"/>
      <c r="C21" s="276"/>
      <c r="D21" s="276"/>
      <c r="E21" s="80"/>
      <c r="F21" s="277" t="s">
        <v>331</v>
      </c>
      <c r="G21" s="278">
        <v>85</v>
      </c>
      <c r="H21" s="276" t="s">
        <v>330</v>
      </c>
      <c r="I21" s="279"/>
      <c r="K21" s="274"/>
    </row>
    <row r="22" spans="1:11" ht="12.95" customHeight="1" x14ac:dyDescent="0.2">
      <c r="A22" s="3">
        <v>223</v>
      </c>
      <c r="B22" s="275"/>
      <c r="C22" s="276"/>
      <c r="D22" s="276"/>
      <c r="E22" s="80"/>
      <c r="F22" s="277" t="s">
        <v>8</v>
      </c>
      <c r="G22" s="278">
        <v>0.1</v>
      </c>
      <c r="H22" s="276" t="s">
        <v>46</v>
      </c>
      <c r="I22" s="279"/>
      <c r="K22" s="274"/>
    </row>
    <row r="23" spans="1:11" ht="12.95" customHeight="1" x14ac:dyDescent="0.2">
      <c r="A23" s="3">
        <v>224</v>
      </c>
      <c r="B23" s="275"/>
      <c r="C23" s="276"/>
      <c r="D23" s="276"/>
      <c r="E23" s="80"/>
      <c r="F23" s="277" t="s">
        <v>321</v>
      </c>
      <c r="G23" s="278">
        <v>20</v>
      </c>
      <c r="H23" s="276" t="s">
        <v>19</v>
      </c>
      <c r="I23" s="279"/>
      <c r="K23" s="274"/>
    </row>
    <row r="24" spans="1:11" ht="12.95" customHeight="1" thickBot="1" x14ac:dyDescent="0.25">
      <c r="B24" s="280"/>
      <c r="C24" s="281"/>
      <c r="D24" s="281"/>
      <c r="E24" s="282"/>
      <c r="F24" s="281"/>
      <c r="G24" s="281"/>
      <c r="H24" s="281"/>
      <c r="I24" s="283"/>
    </row>
    <row r="25" spans="1:11" ht="12.95" customHeight="1" thickBot="1" x14ac:dyDescent="0.25">
      <c r="E25" s="56"/>
    </row>
    <row r="26" spans="1:11" ht="12.95" customHeight="1" x14ac:dyDescent="0.2">
      <c r="A26" s="3">
        <v>231</v>
      </c>
      <c r="B26" s="268" t="s">
        <v>63</v>
      </c>
      <c r="C26" s="269"/>
      <c r="D26" s="270" t="s">
        <v>562</v>
      </c>
      <c r="E26" s="271"/>
      <c r="F26" s="269"/>
      <c r="G26" s="284">
        <f>SUMPRODUCT(E3_Verbraucher!$D$18:$XFD$18*(E3_Verbraucher!$D$22:$XFD$22="T 3: "&amp;Eing_Abnehmerart3))/Eing_verkaufteWM*100</f>
        <v>80.213903743315512</v>
      </c>
      <c r="H26" s="269" t="s">
        <v>7</v>
      </c>
      <c r="I26" s="273"/>
      <c r="K26" s="274"/>
    </row>
    <row r="27" spans="1:11" ht="12.95" customHeight="1" x14ac:dyDescent="0.2">
      <c r="A27" s="3">
        <v>232</v>
      </c>
      <c r="B27" s="275"/>
      <c r="C27" s="276"/>
      <c r="D27" s="276"/>
      <c r="E27" s="80"/>
      <c r="F27" s="277" t="s">
        <v>331</v>
      </c>
      <c r="G27" s="278">
        <v>75</v>
      </c>
      <c r="H27" s="276" t="s">
        <v>330</v>
      </c>
      <c r="I27" s="279"/>
      <c r="K27" s="274"/>
    </row>
    <row r="28" spans="1:11" ht="12.95" customHeight="1" x14ac:dyDescent="0.2">
      <c r="A28" s="3">
        <v>233</v>
      </c>
      <c r="B28" s="275"/>
      <c r="C28" s="276"/>
      <c r="D28" s="276"/>
      <c r="E28" s="80"/>
      <c r="F28" s="277" t="s">
        <v>8</v>
      </c>
      <c r="G28" s="278">
        <v>0.1</v>
      </c>
      <c r="H28" s="276" t="s">
        <v>46</v>
      </c>
      <c r="I28" s="279"/>
      <c r="K28" s="274"/>
    </row>
    <row r="29" spans="1:11" ht="12.95" customHeight="1" x14ac:dyDescent="0.2">
      <c r="A29" s="3">
        <v>234</v>
      </c>
      <c r="B29" s="275"/>
      <c r="C29" s="276"/>
      <c r="D29" s="276"/>
      <c r="E29" s="80"/>
      <c r="F29" s="277" t="s">
        <v>321</v>
      </c>
      <c r="G29" s="278">
        <v>10</v>
      </c>
      <c r="H29" s="276" t="s">
        <v>19</v>
      </c>
      <c r="I29" s="279"/>
      <c r="K29" s="274"/>
    </row>
    <row r="30" spans="1:11" ht="12.95" customHeight="1" thickBot="1" x14ac:dyDescent="0.25">
      <c r="B30" s="280"/>
      <c r="C30" s="281"/>
      <c r="D30" s="281"/>
      <c r="E30" s="282"/>
      <c r="F30" s="281"/>
      <c r="G30" s="281"/>
      <c r="H30" s="281"/>
      <c r="I30" s="283"/>
    </row>
    <row r="31" spans="1:11" ht="12.95" customHeight="1" thickBot="1" x14ac:dyDescent="0.25">
      <c r="E31" s="56"/>
    </row>
    <row r="32" spans="1:11" ht="12.95" customHeight="1" x14ac:dyDescent="0.2">
      <c r="A32" s="3">
        <v>241</v>
      </c>
      <c r="B32" s="268" t="s">
        <v>66</v>
      </c>
      <c r="C32" s="269"/>
      <c r="D32" s="270"/>
      <c r="E32" s="271"/>
      <c r="F32" s="269"/>
      <c r="G32" s="284">
        <f>SUMPRODUCT(E3_Verbraucher!$D$18:$XFD$18*(E3_Verbraucher!$D$22:$XFD$22="T 4: "&amp;Eing_Abnehmerart4))/Eing_verkaufteWM*100</f>
        <v>0</v>
      </c>
      <c r="H32" s="269" t="s">
        <v>7</v>
      </c>
      <c r="I32" s="273"/>
      <c r="K32" s="274"/>
    </row>
    <row r="33" spans="1:11" ht="12.95" customHeight="1" x14ac:dyDescent="0.2">
      <c r="A33" s="3">
        <v>242</v>
      </c>
      <c r="B33" s="275"/>
      <c r="C33" s="276"/>
      <c r="D33" s="276"/>
      <c r="E33" s="79"/>
      <c r="F33" s="277" t="s">
        <v>329</v>
      </c>
      <c r="G33" s="278"/>
      <c r="H33" s="276" t="s">
        <v>330</v>
      </c>
      <c r="I33" s="279"/>
      <c r="K33" s="274"/>
    </row>
    <row r="34" spans="1:11" ht="12.95" customHeight="1" x14ac:dyDescent="0.2">
      <c r="A34" s="3">
        <v>243</v>
      </c>
      <c r="B34" s="275"/>
      <c r="C34" s="276"/>
      <c r="D34" s="276"/>
      <c r="E34" s="79"/>
      <c r="F34" s="277" t="s">
        <v>8</v>
      </c>
      <c r="G34" s="278"/>
      <c r="H34" s="276" t="s">
        <v>46</v>
      </c>
      <c r="I34" s="279"/>
      <c r="K34" s="274"/>
    </row>
    <row r="35" spans="1:11" ht="12.95" customHeight="1" x14ac:dyDescent="0.2">
      <c r="A35" s="3">
        <v>244</v>
      </c>
      <c r="B35" s="275"/>
      <c r="C35" s="276"/>
      <c r="D35" s="276"/>
      <c r="E35" s="79"/>
      <c r="F35" s="277" t="s">
        <v>321</v>
      </c>
      <c r="G35" s="278"/>
      <c r="H35" s="276" t="s">
        <v>19</v>
      </c>
      <c r="I35" s="279"/>
      <c r="K35" s="274"/>
    </row>
    <row r="36" spans="1:11" ht="12.95" customHeight="1" thickBot="1" x14ac:dyDescent="0.25">
      <c r="B36" s="280"/>
      <c r="C36" s="281"/>
      <c r="D36" s="281"/>
      <c r="E36" s="285"/>
      <c r="F36" s="281"/>
      <c r="G36" s="281"/>
      <c r="H36" s="281"/>
      <c r="I36" s="283"/>
    </row>
    <row r="37" spans="1:11" ht="12.95" hidden="1" customHeight="1" x14ac:dyDescent="0.2">
      <c r="E37" s="1"/>
    </row>
    <row r="41" spans="1:11" hidden="1" x14ac:dyDescent="0.2">
      <c r="G41" s="286"/>
      <c r="I41" s="287"/>
      <c r="J41" s="287"/>
    </row>
  </sheetData>
  <sheetProtection algorithmName="SHA-512" hashValue="H8SCGdjwKYJJ9NiRQPFAaJpTWuTmviqZZR2tzWsg/0kPMfBayFvXUvrL//daSWfIo+tBpAXPxbT3zCWKqCoTYQ==" saltValue="cbMl0wSUorkvMHyVXHmafg==" spinCount="100000" sheet="1" objects="1" scenarios="1"/>
  <mergeCells count="4">
    <mergeCell ref="D6:I6"/>
    <mergeCell ref="D7:I7"/>
    <mergeCell ref="D8:I8"/>
    <mergeCell ref="D10:I10"/>
  </mergeCells>
  <phoneticPr fontId="8" type="noConversion"/>
  <hyperlinks>
    <hyperlink ref="A1" location="I1_200" display="I1_200" xr:uid="{00000000-0004-0000-0200-000000000000}"/>
    <hyperlink ref="A3" location="I1_101" display="I1_101" xr:uid="{00000000-0004-0000-0200-000001000000}"/>
    <hyperlink ref="A4" location="I1_105" display="I1_105" xr:uid="{00000000-0004-0000-0200-000002000000}"/>
    <hyperlink ref="A6" location="I1_206" display="I1_206" xr:uid="{00000000-0004-0000-0200-000003000000}"/>
    <hyperlink ref="A10" location="I1_207" display="I1_207" xr:uid="{00000000-0004-0000-0200-000004000000}"/>
    <hyperlink ref="A12" location="I1_210" display="I1_210" xr:uid="{00000000-0004-0000-0200-000005000000}"/>
    <hyperlink ref="A14" location="I1_211" display="I1_211" xr:uid="{00000000-0004-0000-0200-000006000000}"/>
    <hyperlink ref="A15" location="I1_212" display="I1_212" xr:uid="{00000000-0004-0000-0200-000007000000}"/>
    <hyperlink ref="A16" location="I1_213" display="I1_213" xr:uid="{00000000-0004-0000-0200-000008000000}"/>
    <hyperlink ref="A20" location="I1_221" display="I1_221" xr:uid="{00000000-0004-0000-0200-000009000000}"/>
    <hyperlink ref="A21" location="I1_222" display="I1_222" xr:uid="{00000000-0004-0000-0200-00000A000000}"/>
    <hyperlink ref="A22" location="I1_223" display="I1_223" xr:uid="{00000000-0004-0000-0200-00000B000000}"/>
    <hyperlink ref="A26" location="I1_231" display="I1_231" xr:uid="{00000000-0004-0000-0200-00000C000000}"/>
    <hyperlink ref="A27" location="I1_232" display="I1_232" xr:uid="{00000000-0004-0000-0200-00000D000000}"/>
    <hyperlink ref="A28" location="I1_233" display="I1_233" xr:uid="{00000000-0004-0000-0200-00000E000000}"/>
    <hyperlink ref="A32" location="I1_241" display="I1_241" xr:uid="{00000000-0004-0000-0200-00000F000000}"/>
    <hyperlink ref="A33" location="I1_242" display="I1_242" xr:uid="{00000000-0004-0000-0200-000010000000}"/>
    <hyperlink ref="A34" location="I1_243" display="I1_243" xr:uid="{00000000-0004-0000-0200-000011000000}"/>
  </hyperlinks>
  <pageMargins left="0.78740157480314965" right="0.6692913385826772" top="1.1417322834645669" bottom="1.3385826771653544" header="0.51181102362204722" footer="0.51181102362204722"/>
  <pageSetup paperSize="9" scale="97" fitToHeight="0" orientation="portrait" r:id="rId1"/>
  <headerFooter alignWithMargins="0">
    <oddHeader>&amp;L&amp;G&amp;R&amp;G</oddHeader>
    <oddFooter>&amp;L&amp;"Arial,Standard"&amp;10&amp;F&amp;C&amp;"Arial,Standard"&amp;10&amp;P / &amp;N &amp;R&amp;"Arial,Standard"&amp;10&amp;D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B38"/>
  <sheetViews>
    <sheetView zoomScale="110" zoomScaleNormal="110" workbookViewId="0">
      <pane xSplit="3" ySplit="13" topLeftCell="D14" activePane="bottomRight" state="frozen"/>
      <selection pane="topRight" activeCell="D1" sqref="D1"/>
      <selection pane="bottomLeft" activeCell="A14" sqref="A14"/>
      <selection pane="bottomRight" activeCell="D23" sqref="D23:I23"/>
    </sheetView>
  </sheetViews>
  <sheetFormatPr baseColWidth="10" defaultColWidth="0" defaultRowHeight="12.75" zeroHeight="1" x14ac:dyDescent="0.25"/>
  <cols>
    <col min="1" max="1" width="3.85546875" style="229" customWidth="1"/>
    <col min="2" max="2" width="18.140625" style="229" customWidth="1"/>
    <col min="3" max="3" width="36.7109375" style="229" customWidth="1"/>
    <col min="4" max="183" width="18.7109375" style="229" customWidth="1"/>
    <col min="184" max="184" width="16.28515625" style="229" hidden="1" customWidth="1"/>
    <col min="185" max="16384" width="10.85546875" style="229" hidden="1"/>
  </cols>
  <sheetData>
    <row r="1" spans="1:184" ht="17.100000000000001" customHeight="1" x14ac:dyDescent="0.25">
      <c r="A1" s="228">
        <v>300</v>
      </c>
      <c r="B1" s="363" t="s">
        <v>79</v>
      </c>
    </row>
    <row r="2" spans="1:184" ht="12.95" customHeight="1" x14ac:dyDescent="0.25"/>
    <row r="3" spans="1:184" ht="12.95" customHeight="1" x14ac:dyDescent="0.2">
      <c r="A3" s="53">
        <v>101</v>
      </c>
      <c r="B3" s="103"/>
      <c r="C3" s="230" t="s">
        <v>4</v>
      </c>
      <c r="D3" s="231"/>
    </row>
    <row r="4" spans="1:184" ht="12.95" customHeight="1" x14ac:dyDescent="0.2">
      <c r="A4" s="53">
        <v>102</v>
      </c>
      <c r="B4" s="103"/>
      <c r="C4" s="361" t="s">
        <v>110</v>
      </c>
      <c r="D4" s="231"/>
    </row>
    <row r="5" spans="1:184" ht="12.95" customHeight="1" x14ac:dyDescent="0.2">
      <c r="A5" s="53">
        <v>103</v>
      </c>
      <c r="B5" s="103"/>
      <c r="C5" s="232" t="s">
        <v>304</v>
      </c>
      <c r="D5" s="103"/>
    </row>
    <row r="6" spans="1:184" ht="12.95" customHeight="1" x14ac:dyDescent="0.25">
      <c r="A6" s="228">
        <v>206</v>
      </c>
      <c r="B6" s="233" t="s">
        <v>47</v>
      </c>
      <c r="C6" s="231" t="str">
        <f>IF(E1_Projektdaten!C7=0,"",E1_Projektdaten!C7)</f>
        <v>QMH Beispielprojekt 2</v>
      </c>
      <c r="D6" s="231"/>
    </row>
    <row r="7" spans="1:184" ht="12.95" customHeight="1" x14ac:dyDescent="0.25">
      <c r="B7" s="233"/>
      <c r="C7" s="231" t="str">
        <f>IF(E1_Projektdaten!C8=0,"",E1_Projektdaten!C8)</f>
        <v>Adresszeile</v>
      </c>
    </row>
    <row r="8" spans="1:184" ht="12.95" customHeight="1" x14ac:dyDescent="0.25">
      <c r="B8" s="233"/>
      <c r="C8" s="231" t="str">
        <f>IF(E1_Projektdaten!C9=0,"",E1_Projektdaten!C9)</f>
        <v>PLZ  Ort</v>
      </c>
    </row>
    <row r="9" spans="1:184" ht="12.95" customHeight="1" x14ac:dyDescent="0.25"/>
    <row r="10" spans="1:184" ht="12.95" customHeight="1" x14ac:dyDescent="0.25">
      <c r="A10" s="228">
        <v>207</v>
      </c>
      <c r="B10" s="234" t="s">
        <v>48</v>
      </c>
      <c r="C10" s="235" t="str">
        <f>IF(E1_Projektdaten!C11=0,"",E1_Projektdaten!C11)</f>
        <v>Datum, ErstellerIn</v>
      </c>
      <c r="D10" s="235"/>
    </row>
    <row r="11" spans="1:184" ht="12.95" customHeight="1" x14ac:dyDescent="0.25"/>
    <row r="12" spans="1:184" ht="12.95" customHeight="1" x14ac:dyDescent="0.25">
      <c r="A12" s="228">
        <v>310</v>
      </c>
      <c r="B12" s="233" t="s">
        <v>49</v>
      </c>
    </row>
    <row r="13" spans="1:184" ht="12.95" customHeight="1" x14ac:dyDescent="0.25"/>
    <row r="14" spans="1:184" s="239" customFormat="1" ht="12.95" customHeight="1" x14ac:dyDescent="0.25">
      <c r="A14" s="228">
        <v>311</v>
      </c>
      <c r="B14" s="236" t="s">
        <v>50</v>
      </c>
      <c r="C14" s="237" t="s">
        <v>51</v>
      </c>
      <c r="D14" s="238">
        <v>1</v>
      </c>
      <c r="E14" s="238">
        <v>2</v>
      </c>
      <c r="F14" s="238">
        <v>3</v>
      </c>
      <c r="G14" s="238">
        <v>4</v>
      </c>
      <c r="H14" s="238">
        <v>5</v>
      </c>
      <c r="I14" s="238">
        <v>6</v>
      </c>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38"/>
      <c r="BR14" s="238"/>
      <c r="BS14" s="238"/>
      <c r="BT14" s="238"/>
      <c r="BU14" s="238"/>
      <c r="BV14" s="238"/>
      <c r="BW14" s="238"/>
      <c r="BX14" s="238"/>
      <c r="BY14" s="238"/>
      <c r="BZ14" s="238"/>
      <c r="CA14" s="238"/>
      <c r="CB14" s="238"/>
      <c r="CC14" s="238"/>
      <c r="CD14" s="238"/>
      <c r="CE14" s="238"/>
      <c r="CF14" s="238"/>
      <c r="CG14" s="238"/>
      <c r="CH14" s="238"/>
      <c r="CI14" s="238"/>
      <c r="CJ14" s="238"/>
      <c r="CK14" s="238"/>
      <c r="CL14" s="238"/>
      <c r="CM14" s="238"/>
      <c r="CN14" s="238"/>
      <c r="CO14" s="238"/>
      <c r="CP14" s="238"/>
      <c r="CQ14" s="238"/>
      <c r="CR14" s="238"/>
      <c r="CS14" s="238"/>
      <c r="CT14" s="238"/>
      <c r="CU14" s="238"/>
      <c r="CV14" s="238"/>
      <c r="CW14" s="238"/>
      <c r="CX14" s="238"/>
      <c r="CY14" s="238"/>
      <c r="CZ14" s="238"/>
      <c r="DA14" s="238"/>
      <c r="DB14" s="238"/>
      <c r="DC14" s="238"/>
      <c r="DD14" s="238"/>
      <c r="DE14" s="238"/>
      <c r="DF14" s="238"/>
      <c r="DG14" s="238"/>
      <c r="DH14" s="238"/>
      <c r="DI14" s="238"/>
      <c r="DJ14" s="238"/>
      <c r="DK14" s="238"/>
      <c r="DL14" s="238"/>
      <c r="DM14" s="238"/>
      <c r="DN14" s="238"/>
      <c r="DO14" s="238"/>
      <c r="DP14" s="238"/>
      <c r="DQ14" s="238"/>
      <c r="DR14" s="238"/>
      <c r="DS14" s="238"/>
      <c r="DT14" s="238"/>
      <c r="DU14" s="238"/>
      <c r="DV14" s="238"/>
      <c r="DW14" s="238"/>
      <c r="DX14" s="238"/>
      <c r="DY14" s="238"/>
      <c r="DZ14" s="238"/>
      <c r="EA14" s="238"/>
      <c r="EB14" s="238"/>
      <c r="EC14" s="238"/>
      <c r="ED14" s="238"/>
      <c r="EE14" s="238"/>
      <c r="EF14" s="238"/>
      <c r="EG14" s="238"/>
      <c r="EH14" s="238"/>
      <c r="EI14" s="238"/>
      <c r="EJ14" s="238"/>
      <c r="EK14" s="238"/>
      <c r="EL14" s="238"/>
      <c r="EM14" s="238"/>
      <c r="EN14" s="238"/>
      <c r="EO14" s="238"/>
      <c r="EP14" s="238"/>
      <c r="EQ14" s="238"/>
      <c r="ER14" s="238"/>
      <c r="ES14" s="238"/>
      <c r="ET14" s="238"/>
      <c r="EU14" s="238"/>
      <c r="EV14" s="238"/>
      <c r="EW14" s="238"/>
      <c r="EX14" s="238"/>
      <c r="EY14" s="238"/>
      <c r="EZ14" s="238"/>
      <c r="FA14" s="238"/>
      <c r="FB14" s="238"/>
      <c r="FC14" s="238"/>
      <c r="FD14" s="238"/>
      <c r="FE14" s="238"/>
      <c r="FF14" s="238"/>
      <c r="FG14" s="238"/>
      <c r="FH14" s="238"/>
      <c r="FI14" s="238"/>
      <c r="FJ14" s="238"/>
      <c r="FK14" s="238"/>
      <c r="FL14" s="238"/>
      <c r="FM14" s="238"/>
      <c r="FN14" s="238"/>
      <c r="FO14" s="238"/>
      <c r="FP14" s="238"/>
      <c r="FQ14" s="238"/>
      <c r="FR14" s="238"/>
      <c r="FS14" s="238"/>
      <c r="FT14" s="238"/>
      <c r="FU14" s="238"/>
      <c r="FV14" s="238"/>
      <c r="FW14" s="238"/>
      <c r="FX14" s="238"/>
      <c r="FY14" s="238"/>
      <c r="FZ14" s="238"/>
      <c r="GA14" s="238"/>
      <c r="GB14" s="229"/>
    </row>
    <row r="15" spans="1:184" s="239" customFormat="1" ht="12.95" customHeight="1" x14ac:dyDescent="0.25">
      <c r="A15" s="228">
        <v>312</v>
      </c>
      <c r="B15" s="240"/>
      <c r="C15" s="237" t="s">
        <v>52</v>
      </c>
      <c r="D15" s="238" t="s">
        <v>563</v>
      </c>
      <c r="E15" s="238" t="s">
        <v>564</v>
      </c>
      <c r="F15" s="241" t="s">
        <v>565</v>
      </c>
      <c r="G15" s="241" t="s">
        <v>566</v>
      </c>
      <c r="H15" s="241" t="s">
        <v>567</v>
      </c>
      <c r="I15" s="241" t="s">
        <v>568</v>
      </c>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c r="CD15" s="241"/>
      <c r="CE15" s="241"/>
      <c r="CF15" s="241"/>
      <c r="CG15" s="241"/>
      <c r="CH15" s="241"/>
      <c r="CI15" s="241"/>
      <c r="CJ15" s="241"/>
      <c r="CK15" s="241"/>
      <c r="CL15" s="241"/>
      <c r="CM15" s="241"/>
      <c r="CN15" s="241"/>
      <c r="CO15" s="241"/>
      <c r="CP15" s="241"/>
      <c r="CQ15" s="241"/>
      <c r="CR15" s="241"/>
      <c r="CS15" s="241"/>
      <c r="CT15" s="241"/>
      <c r="CU15" s="241"/>
      <c r="CV15" s="241"/>
      <c r="CW15" s="241"/>
      <c r="CX15" s="241"/>
      <c r="CY15" s="241"/>
      <c r="CZ15" s="241"/>
      <c r="DA15" s="241"/>
      <c r="DB15" s="241"/>
      <c r="DC15" s="241"/>
      <c r="DD15" s="241"/>
      <c r="DE15" s="241"/>
      <c r="DF15" s="241"/>
      <c r="DG15" s="241"/>
      <c r="DH15" s="241"/>
      <c r="DI15" s="241"/>
      <c r="DJ15" s="241"/>
      <c r="DK15" s="241"/>
      <c r="DL15" s="241"/>
      <c r="DM15" s="241"/>
      <c r="DN15" s="241"/>
      <c r="DO15" s="241"/>
      <c r="DP15" s="241"/>
      <c r="DQ15" s="241"/>
      <c r="DR15" s="241"/>
      <c r="DS15" s="241"/>
      <c r="DT15" s="241"/>
      <c r="DU15" s="241"/>
      <c r="DV15" s="241"/>
      <c r="DW15" s="241"/>
      <c r="DX15" s="241"/>
      <c r="DY15" s="241"/>
      <c r="DZ15" s="241"/>
      <c r="EA15" s="241"/>
      <c r="EB15" s="241"/>
      <c r="EC15" s="241"/>
      <c r="ED15" s="241"/>
      <c r="EE15" s="241"/>
      <c r="EF15" s="241"/>
      <c r="EG15" s="241"/>
      <c r="EH15" s="241"/>
      <c r="EI15" s="241"/>
      <c r="EJ15" s="241"/>
      <c r="EK15" s="241"/>
      <c r="EL15" s="241"/>
      <c r="EM15" s="241"/>
      <c r="EN15" s="241"/>
      <c r="EO15" s="241"/>
      <c r="EP15" s="241"/>
      <c r="EQ15" s="241"/>
      <c r="ER15" s="241"/>
      <c r="ES15" s="241"/>
      <c r="ET15" s="241"/>
      <c r="EU15" s="241"/>
      <c r="EV15" s="241"/>
      <c r="EW15" s="241"/>
      <c r="EX15" s="241"/>
      <c r="EY15" s="241"/>
      <c r="EZ15" s="241"/>
      <c r="FA15" s="241"/>
      <c r="FB15" s="241"/>
      <c r="FC15" s="241"/>
      <c r="FD15" s="241"/>
      <c r="FE15" s="241"/>
      <c r="FF15" s="241"/>
      <c r="FG15" s="241"/>
      <c r="FH15" s="241"/>
      <c r="FI15" s="241"/>
      <c r="FJ15" s="241"/>
      <c r="FK15" s="241"/>
      <c r="FL15" s="241"/>
      <c r="FM15" s="241"/>
      <c r="FN15" s="241"/>
      <c r="FO15" s="241"/>
      <c r="FP15" s="241"/>
      <c r="FQ15" s="241"/>
      <c r="FR15" s="241"/>
      <c r="FS15" s="241"/>
      <c r="FT15" s="241"/>
      <c r="FU15" s="241"/>
      <c r="FV15" s="241"/>
      <c r="FW15" s="241"/>
      <c r="FX15" s="241"/>
      <c r="FY15" s="241"/>
      <c r="FZ15" s="241"/>
      <c r="GA15" s="241"/>
      <c r="GB15" s="229"/>
    </row>
    <row r="16" spans="1:184" s="239" customFormat="1" ht="12.95" customHeight="1" x14ac:dyDescent="0.25">
      <c r="B16" s="240"/>
      <c r="C16" s="237" t="s">
        <v>0</v>
      </c>
      <c r="D16" s="238" t="s">
        <v>569</v>
      </c>
      <c r="E16" s="238" t="s">
        <v>570</v>
      </c>
      <c r="F16" s="241" t="s">
        <v>570</v>
      </c>
      <c r="G16" s="241" t="s">
        <v>571</v>
      </c>
      <c r="H16" s="241" t="s">
        <v>572</v>
      </c>
      <c r="I16" s="241" t="s">
        <v>573</v>
      </c>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241"/>
      <c r="BX16" s="241"/>
      <c r="BY16" s="241"/>
      <c r="BZ16" s="241"/>
      <c r="CA16" s="241"/>
      <c r="CB16" s="241"/>
      <c r="CC16" s="241"/>
      <c r="CD16" s="241"/>
      <c r="CE16" s="241"/>
      <c r="CF16" s="241"/>
      <c r="CG16" s="241"/>
      <c r="CH16" s="241"/>
      <c r="CI16" s="241"/>
      <c r="CJ16" s="241"/>
      <c r="CK16" s="241"/>
      <c r="CL16" s="241"/>
      <c r="CM16" s="241"/>
      <c r="CN16" s="241"/>
      <c r="CO16" s="241"/>
      <c r="CP16" s="241"/>
      <c r="CQ16" s="241"/>
      <c r="CR16" s="241"/>
      <c r="CS16" s="241"/>
      <c r="CT16" s="241"/>
      <c r="CU16" s="241"/>
      <c r="CV16" s="241"/>
      <c r="CW16" s="241"/>
      <c r="CX16" s="241"/>
      <c r="CY16" s="241"/>
      <c r="CZ16" s="241"/>
      <c r="DA16" s="241"/>
      <c r="DB16" s="241"/>
      <c r="DC16" s="241"/>
      <c r="DD16" s="241"/>
      <c r="DE16" s="241"/>
      <c r="DF16" s="241"/>
      <c r="DG16" s="241"/>
      <c r="DH16" s="241"/>
      <c r="DI16" s="241"/>
      <c r="DJ16" s="241"/>
      <c r="DK16" s="241"/>
      <c r="DL16" s="241"/>
      <c r="DM16" s="241"/>
      <c r="DN16" s="241"/>
      <c r="DO16" s="241"/>
      <c r="DP16" s="241"/>
      <c r="DQ16" s="241"/>
      <c r="DR16" s="241"/>
      <c r="DS16" s="241"/>
      <c r="DT16" s="241"/>
      <c r="DU16" s="241"/>
      <c r="DV16" s="241"/>
      <c r="DW16" s="241"/>
      <c r="DX16" s="241"/>
      <c r="DY16" s="241"/>
      <c r="DZ16" s="241"/>
      <c r="EA16" s="241"/>
      <c r="EB16" s="241"/>
      <c r="EC16" s="241"/>
      <c r="ED16" s="241"/>
      <c r="EE16" s="241"/>
      <c r="EF16" s="241"/>
      <c r="EG16" s="241"/>
      <c r="EH16" s="241"/>
      <c r="EI16" s="241"/>
      <c r="EJ16" s="241"/>
      <c r="EK16" s="241"/>
      <c r="EL16" s="241"/>
      <c r="EM16" s="241"/>
      <c r="EN16" s="241"/>
      <c r="EO16" s="241"/>
      <c r="EP16" s="241"/>
      <c r="EQ16" s="241"/>
      <c r="ER16" s="241"/>
      <c r="ES16" s="241"/>
      <c r="ET16" s="241"/>
      <c r="EU16" s="241"/>
      <c r="EV16" s="241"/>
      <c r="EW16" s="241"/>
      <c r="EX16" s="241"/>
      <c r="EY16" s="241"/>
      <c r="EZ16" s="241"/>
      <c r="FA16" s="241"/>
      <c r="FB16" s="241"/>
      <c r="FC16" s="241"/>
      <c r="FD16" s="241"/>
      <c r="FE16" s="241"/>
      <c r="FF16" s="241"/>
      <c r="FG16" s="241"/>
      <c r="FH16" s="241"/>
      <c r="FI16" s="241"/>
      <c r="FJ16" s="241"/>
      <c r="FK16" s="241"/>
      <c r="FL16" s="241"/>
      <c r="FM16" s="241"/>
      <c r="FN16" s="241"/>
      <c r="FO16" s="241"/>
      <c r="FP16" s="241"/>
      <c r="FQ16" s="241"/>
      <c r="FR16" s="241"/>
      <c r="FS16" s="241"/>
      <c r="FT16" s="241"/>
      <c r="FU16" s="241"/>
      <c r="FV16" s="241"/>
      <c r="FW16" s="241"/>
      <c r="FX16" s="241"/>
      <c r="FY16" s="241"/>
      <c r="FZ16" s="241"/>
      <c r="GA16" s="241"/>
    </row>
    <row r="17" spans="1:184" s="239" customFormat="1" ht="12.95" customHeight="1" x14ac:dyDescent="0.25">
      <c r="B17" s="240"/>
      <c r="C17" s="237" t="s">
        <v>0</v>
      </c>
      <c r="D17" s="238"/>
      <c r="E17" s="238"/>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1"/>
      <c r="BM17" s="241"/>
      <c r="BN17" s="241"/>
      <c r="BO17" s="241"/>
      <c r="BP17" s="241"/>
      <c r="BQ17" s="241"/>
      <c r="BR17" s="241"/>
      <c r="BS17" s="241"/>
      <c r="BT17" s="241"/>
      <c r="BU17" s="241"/>
      <c r="BV17" s="241"/>
      <c r="BW17" s="241"/>
      <c r="BX17" s="241"/>
      <c r="BY17" s="241"/>
      <c r="BZ17" s="241"/>
      <c r="CA17" s="241"/>
      <c r="CB17" s="241"/>
      <c r="CC17" s="241"/>
      <c r="CD17" s="241"/>
      <c r="CE17" s="241"/>
      <c r="CF17" s="241"/>
      <c r="CG17" s="241"/>
      <c r="CH17" s="241"/>
      <c r="CI17" s="241"/>
      <c r="CJ17" s="241"/>
      <c r="CK17" s="241"/>
      <c r="CL17" s="241"/>
      <c r="CM17" s="241"/>
      <c r="CN17" s="241"/>
      <c r="CO17" s="241"/>
      <c r="CP17" s="241"/>
      <c r="CQ17" s="241"/>
      <c r="CR17" s="241"/>
      <c r="CS17" s="241"/>
      <c r="CT17" s="241"/>
      <c r="CU17" s="241"/>
      <c r="CV17" s="241"/>
      <c r="CW17" s="241"/>
      <c r="CX17" s="241"/>
      <c r="CY17" s="241"/>
      <c r="CZ17" s="241"/>
      <c r="DA17" s="241"/>
      <c r="DB17" s="241"/>
      <c r="DC17" s="241"/>
      <c r="DD17" s="241"/>
      <c r="DE17" s="241"/>
      <c r="DF17" s="241"/>
      <c r="DG17" s="241"/>
      <c r="DH17" s="241"/>
      <c r="DI17" s="241"/>
      <c r="DJ17" s="241"/>
      <c r="DK17" s="241"/>
      <c r="DL17" s="241"/>
      <c r="DM17" s="241"/>
      <c r="DN17" s="241"/>
      <c r="DO17" s="241"/>
      <c r="DP17" s="241"/>
      <c r="DQ17" s="241"/>
      <c r="DR17" s="241"/>
      <c r="DS17" s="241"/>
      <c r="DT17" s="241"/>
      <c r="DU17" s="241"/>
      <c r="DV17" s="241"/>
      <c r="DW17" s="241"/>
      <c r="DX17" s="241"/>
      <c r="DY17" s="241"/>
      <c r="DZ17" s="241"/>
      <c r="EA17" s="241"/>
      <c r="EB17" s="241"/>
      <c r="EC17" s="241"/>
      <c r="ED17" s="241"/>
      <c r="EE17" s="241"/>
      <c r="EF17" s="241"/>
      <c r="EG17" s="241"/>
      <c r="EH17" s="241"/>
      <c r="EI17" s="241"/>
      <c r="EJ17" s="241"/>
      <c r="EK17" s="241"/>
      <c r="EL17" s="241"/>
      <c r="EM17" s="241"/>
      <c r="EN17" s="241"/>
      <c r="EO17" s="241"/>
      <c r="EP17" s="241"/>
      <c r="EQ17" s="241"/>
      <c r="ER17" s="241"/>
      <c r="ES17" s="241"/>
      <c r="ET17" s="241"/>
      <c r="EU17" s="241"/>
      <c r="EV17" s="241"/>
      <c r="EW17" s="241"/>
      <c r="EX17" s="241"/>
      <c r="EY17" s="241"/>
      <c r="EZ17" s="241"/>
      <c r="FA17" s="241"/>
      <c r="FB17" s="241"/>
      <c r="FC17" s="241"/>
      <c r="FD17" s="241"/>
      <c r="FE17" s="241"/>
      <c r="FF17" s="241"/>
      <c r="FG17" s="241"/>
      <c r="FH17" s="241"/>
      <c r="FI17" s="241"/>
      <c r="FJ17" s="241"/>
      <c r="FK17" s="241"/>
      <c r="FL17" s="241"/>
      <c r="FM17" s="241"/>
      <c r="FN17" s="241"/>
      <c r="FO17" s="241"/>
      <c r="FP17" s="241"/>
      <c r="FQ17" s="241"/>
      <c r="FR17" s="241"/>
      <c r="FS17" s="241"/>
      <c r="FT17" s="241"/>
      <c r="FU17" s="241"/>
      <c r="FV17" s="241"/>
      <c r="FW17" s="241"/>
      <c r="FX17" s="241"/>
      <c r="FY17" s="241"/>
      <c r="FZ17" s="241"/>
      <c r="GA17" s="241"/>
    </row>
    <row r="18" spans="1:184" s="239" customFormat="1" ht="12.95" customHeight="1" x14ac:dyDescent="0.25">
      <c r="A18" s="228">
        <v>320</v>
      </c>
      <c r="B18" s="236" t="s">
        <v>199</v>
      </c>
      <c r="C18" s="242" t="s">
        <v>53</v>
      </c>
      <c r="D18" s="243">
        <v>250</v>
      </c>
      <c r="E18" s="243">
        <v>40</v>
      </c>
      <c r="F18" s="244">
        <v>30</v>
      </c>
      <c r="G18" s="244">
        <v>20</v>
      </c>
      <c r="H18" s="244">
        <v>30</v>
      </c>
      <c r="I18" s="244">
        <v>1500</v>
      </c>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row>
    <row r="19" spans="1:184" s="239" customFormat="1" ht="12.95" customHeight="1" x14ac:dyDescent="0.25">
      <c r="A19" s="228">
        <v>321</v>
      </c>
      <c r="B19" s="240"/>
      <c r="C19" s="237" t="s">
        <v>54</v>
      </c>
      <c r="D19" s="245">
        <v>150</v>
      </c>
      <c r="E19" s="245">
        <v>25</v>
      </c>
      <c r="F19" s="245">
        <v>20</v>
      </c>
      <c r="G19" s="245">
        <v>15</v>
      </c>
      <c r="H19" s="245">
        <v>20</v>
      </c>
      <c r="I19" s="245">
        <v>1000</v>
      </c>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c r="BX19" s="245"/>
      <c r="BY19" s="245"/>
      <c r="BZ19" s="245"/>
      <c r="CA19" s="245"/>
      <c r="CB19" s="245"/>
      <c r="CC19" s="245"/>
      <c r="CD19" s="245"/>
      <c r="CE19" s="245"/>
      <c r="CF19" s="245"/>
      <c r="CG19" s="245"/>
      <c r="CH19" s="245"/>
      <c r="CI19" s="245"/>
      <c r="CJ19" s="245"/>
      <c r="CK19" s="245"/>
      <c r="CL19" s="245"/>
      <c r="CM19" s="245"/>
      <c r="CN19" s="245"/>
      <c r="CO19" s="245"/>
      <c r="CP19" s="245"/>
      <c r="CQ19" s="245"/>
      <c r="CR19" s="245"/>
      <c r="CS19" s="245"/>
      <c r="CT19" s="245"/>
      <c r="CU19" s="245"/>
      <c r="CV19" s="245"/>
      <c r="CW19" s="245"/>
      <c r="CX19" s="245"/>
      <c r="CY19" s="245"/>
      <c r="CZ19" s="245"/>
      <c r="DA19" s="245"/>
      <c r="DB19" s="245"/>
      <c r="DC19" s="245"/>
      <c r="DD19" s="245"/>
      <c r="DE19" s="245"/>
      <c r="DF19" s="245"/>
      <c r="DG19" s="245"/>
      <c r="DH19" s="245"/>
      <c r="DI19" s="245"/>
      <c r="DJ19" s="245"/>
      <c r="DK19" s="245"/>
      <c r="DL19" s="245"/>
      <c r="DM19" s="245"/>
      <c r="DN19" s="245"/>
      <c r="DO19" s="245"/>
      <c r="DP19" s="245"/>
      <c r="DQ19" s="245"/>
      <c r="DR19" s="245"/>
      <c r="DS19" s="245"/>
      <c r="DT19" s="245"/>
      <c r="DU19" s="245"/>
      <c r="DV19" s="245"/>
      <c r="DW19" s="245"/>
      <c r="DX19" s="245"/>
      <c r="DY19" s="245"/>
      <c r="DZ19" s="245"/>
      <c r="EA19" s="245"/>
      <c r="EB19" s="245"/>
      <c r="EC19" s="245"/>
      <c r="ED19" s="245"/>
      <c r="EE19" s="245"/>
      <c r="EF19" s="245"/>
      <c r="EG19" s="245"/>
      <c r="EH19" s="245"/>
      <c r="EI19" s="245"/>
      <c r="EJ19" s="245"/>
      <c r="EK19" s="245"/>
      <c r="EL19" s="245"/>
      <c r="EM19" s="245"/>
      <c r="EN19" s="245"/>
      <c r="EO19" s="245"/>
      <c r="EP19" s="245"/>
      <c r="EQ19" s="245"/>
      <c r="ER19" s="245"/>
      <c r="ES19" s="245"/>
      <c r="ET19" s="245"/>
      <c r="EU19" s="245"/>
      <c r="EV19" s="245"/>
      <c r="EW19" s="245"/>
      <c r="EX19" s="245"/>
      <c r="EY19" s="245"/>
      <c r="EZ19" s="245"/>
      <c r="FA19" s="245"/>
      <c r="FB19" s="245"/>
      <c r="FC19" s="245"/>
      <c r="FD19" s="245"/>
      <c r="FE19" s="245"/>
      <c r="FF19" s="245"/>
      <c r="FG19" s="245"/>
      <c r="FH19" s="245"/>
      <c r="FI19" s="245"/>
      <c r="FJ19" s="245"/>
      <c r="FK19" s="245"/>
      <c r="FL19" s="245"/>
      <c r="FM19" s="245"/>
      <c r="FN19" s="245"/>
      <c r="FO19" s="245"/>
      <c r="FP19" s="245"/>
      <c r="FQ19" s="245"/>
      <c r="FR19" s="245"/>
      <c r="FS19" s="245"/>
      <c r="FT19" s="245"/>
      <c r="FU19" s="245"/>
      <c r="FV19" s="245"/>
      <c r="FW19" s="245"/>
      <c r="FX19" s="245"/>
      <c r="FY19" s="245"/>
      <c r="FZ19" s="245"/>
      <c r="GA19" s="245"/>
    </row>
    <row r="20" spans="1:184" s="248" customFormat="1" ht="12.95" customHeight="1" x14ac:dyDescent="0.25">
      <c r="A20" s="228">
        <v>322</v>
      </c>
      <c r="B20" s="236" t="s">
        <v>55</v>
      </c>
      <c r="C20" s="242" t="s">
        <v>56</v>
      </c>
      <c r="D20" s="246">
        <v>0.5</v>
      </c>
      <c r="E20" s="247">
        <v>0.5</v>
      </c>
      <c r="F20" s="247">
        <v>0.5</v>
      </c>
      <c r="G20" s="247">
        <v>1</v>
      </c>
      <c r="H20" s="247">
        <v>0.5</v>
      </c>
      <c r="I20" s="247">
        <v>0.4</v>
      </c>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7"/>
      <c r="BA20" s="247"/>
      <c r="BB20" s="247"/>
      <c r="BC20" s="247"/>
      <c r="BD20" s="247"/>
      <c r="BE20" s="247"/>
      <c r="BF20" s="247"/>
      <c r="BG20" s="247"/>
      <c r="BH20" s="247"/>
      <c r="BI20" s="247"/>
      <c r="BJ20" s="247"/>
      <c r="BK20" s="247"/>
      <c r="BL20" s="247"/>
      <c r="BM20" s="247"/>
      <c r="BN20" s="247"/>
      <c r="BO20" s="247"/>
      <c r="BP20" s="247"/>
      <c r="BQ20" s="247"/>
      <c r="BR20" s="247"/>
      <c r="BS20" s="247"/>
      <c r="BT20" s="247"/>
      <c r="BU20" s="247"/>
      <c r="BV20" s="247"/>
      <c r="BW20" s="247"/>
      <c r="BX20" s="247"/>
      <c r="BY20" s="247"/>
      <c r="BZ20" s="247"/>
      <c r="CA20" s="247"/>
      <c r="CB20" s="247"/>
      <c r="CC20" s="247"/>
      <c r="CD20" s="247"/>
      <c r="CE20" s="247"/>
      <c r="CF20" s="247"/>
      <c r="CG20" s="247"/>
      <c r="CH20" s="247"/>
      <c r="CI20" s="247"/>
      <c r="CJ20" s="247"/>
      <c r="CK20" s="247"/>
      <c r="CL20" s="247"/>
      <c r="CM20" s="247"/>
      <c r="CN20" s="247"/>
      <c r="CO20" s="247"/>
      <c r="CP20" s="247"/>
      <c r="CQ20" s="247"/>
      <c r="CR20" s="247"/>
      <c r="CS20" s="247"/>
      <c r="CT20" s="247"/>
      <c r="CU20" s="247"/>
      <c r="CV20" s="247"/>
      <c r="CW20" s="247"/>
      <c r="CX20" s="247"/>
      <c r="CY20" s="247"/>
      <c r="CZ20" s="247"/>
      <c r="DA20" s="247"/>
      <c r="DB20" s="247"/>
      <c r="DC20" s="247"/>
      <c r="DD20" s="247"/>
      <c r="DE20" s="247"/>
      <c r="DF20" s="247"/>
      <c r="DG20" s="247"/>
      <c r="DH20" s="247"/>
      <c r="DI20" s="247"/>
      <c r="DJ20" s="247"/>
      <c r="DK20" s="247"/>
      <c r="DL20" s="247"/>
      <c r="DM20" s="247"/>
      <c r="DN20" s="247"/>
      <c r="DO20" s="247"/>
      <c r="DP20" s="247"/>
      <c r="DQ20" s="247"/>
      <c r="DR20" s="247"/>
      <c r="DS20" s="247"/>
      <c r="DT20" s="247"/>
      <c r="DU20" s="247"/>
      <c r="DV20" s="247"/>
      <c r="DW20" s="247"/>
      <c r="DX20" s="247"/>
      <c r="DY20" s="247"/>
      <c r="DZ20" s="247"/>
      <c r="EA20" s="247"/>
      <c r="EB20" s="247"/>
      <c r="EC20" s="247"/>
      <c r="ED20" s="247"/>
      <c r="EE20" s="247"/>
      <c r="EF20" s="247"/>
      <c r="EG20" s="247"/>
      <c r="EH20" s="247"/>
      <c r="EI20" s="247"/>
      <c r="EJ20" s="247"/>
      <c r="EK20" s="247"/>
      <c r="EL20" s="247"/>
      <c r="EM20" s="247"/>
      <c r="EN20" s="247"/>
      <c r="EO20" s="247"/>
      <c r="EP20" s="247"/>
      <c r="EQ20" s="247"/>
      <c r="ER20" s="247"/>
      <c r="ES20" s="247"/>
      <c r="ET20" s="247"/>
      <c r="EU20" s="247"/>
      <c r="EV20" s="247"/>
      <c r="EW20" s="247"/>
      <c r="EX20" s="247"/>
      <c r="EY20" s="247"/>
      <c r="EZ20" s="247"/>
      <c r="FA20" s="247"/>
      <c r="FB20" s="247"/>
      <c r="FC20" s="247"/>
      <c r="FD20" s="247"/>
      <c r="FE20" s="247"/>
      <c r="FF20" s="247"/>
      <c r="FG20" s="247"/>
      <c r="FH20" s="247"/>
      <c r="FI20" s="247"/>
      <c r="FJ20" s="247"/>
      <c r="FK20" s="247"/>
      <c r="FL20" s="247"/>
      <c r="FM20" s="247"/>
      <c r="FN20" s="247"/>
      <c r="FO20" s="247"/>
      <c r="FP20" s="247"/>
      <c r="FQ20" s="247"/>
      <c r="FR20" s="247"/>
      <c r="FS20" s="247"/>
      <c r="FT20" s="247"/>
      <c r="FU20" s="247"/>
      <c r="FV20" s="247"/>
      <c r="FW20" s="247"/>
      <c r="FX20" s="247"/>
      <c r="FY20" s="247"/>
      <c r="FZ20" s="247"/>
      <c r="GA20" s="247"/>
      <c r="GB20" s="239"/>
    </row>
    <row r="21" spans="1:184" s="239" customFormat="1" ht="12.95" customHeight="1" x14ac:dyDescent="0.25">
      <c r="A21" s="228">
        <v>323</v>
      </c>
      <c r="B21" s="242"/>
      <c r="C21" s="237" t="s">
        <v>57</v>
      </c>
      <c r="D21" s="249">
        <v>2024</v>
      </c>
      <c r="E21" s="250">
        <v>2026</v>
      </c>
      <c r="F21" s="250">
        <v>2026</v>
      </c>
      <c r="G21" s="250">
        <v>2027</v>
      </c>
      <c r="H21" s="250">
        <v>2025</v>
      </c>
      <c r="I21" s="250">
        <v>2025</v>
      </c>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0"/>
      <c r="BJ21" s="250"/>
      <c r="BK21" s="250"/>
      <c r="BL21" s="250"/>
      <c r="BM21" s="250"/>
      <c r="BN21" s="250"/>
      <c r="BO21" s="250"/>
      <c r="BP21" s="250"/>
      <c r="BQ21" s="250"/>
      <c r="BR21" s="250"/>
      <c r="BS21" s="250"/>
      <c r="BT21" s="250"/>
      <c r="BU21" s="250"/>
      <c r="BV21" s="250"/>
      <c r="BW21" s="250"/>
      <c r="BX21" s="250"/>
      <c r="BY21" s="250"/>
      <c r="BZ21" s="250"/>
      <c r="CA21" s="250"/>
      <c r="CB21" s="250"/>
      <c r="CC21" s="250"/>
      <c r="CD21" s="250"/>
      <c r="CE21" s="250"/>
      <c r="CF21" s="250"/>
      <c r="CG21" s="250"/>
      <c r="CH21" s="250"/>
      <c r="CI21" s="250"/>
      <c r="CJ21" s="250"/>
      <c r="CK21" s="250"/>
      <c r="CL21" s="250"/>
      <c r="CM21" s="250"/>
      <c r="CN21" s="250"/>
      <c r="CO21" s="250"/>
      <c r="CP21" s="250"/>
      <c r="CQ21" s="250"/>
      <c r="CR21" s="250"/>
      <c r="CS21" s="250"/>
      <c r="CT21" s="250"/>
      <c r="CU21" s="250"/>
      <c r="CV21" s="250"/>
      <c r="CW21" s="250"/>
      <c r="CX21" s="250"/>
      <c r="CY21" s="250"/>
      <c r="CZ21" s="250"/>
      <c r="DA21" s="250"/>
      <c r="DB21" s="250"/>
      <c r="DC21" s="250"/>
      <c r="DD21" s="250"/>
      <c r="DE21" s="250"/>
      <c r="DF21" s="250"/>
      <c r="DG21" s="250"/>
      <c r="DH21" s="250"/>
      <c r="DI21" s="250"/>
      <c r="DJ21" s="250"/>
      <c r="DK21" s="250"/>
      <c r="DL21" s="250"/>
      <c r="DM21" s="250"/>
      <c r="DN21" s="250"/>
      <c r="DO21" s="250"/>
      <c r="DP21" s="250"/>
      <c r="DQ21" s="250"/>
      <c r="DR21" s="250"/>
      <c r="DS21" s="250"/>
      <c r="DT21" s="250"/>
      <c r="DU21" s="250"/>
      <c r="DV21" s="250"/>
      <c r="DW21" s="250"/>
      <c r="DX21" s="250"/>
      <c r="DY21" s="250"/>
      <c r="DZ21" s="250"/>
      <c r="EA21" s="250"/>
      <c r="EB21" s="250"/>
      <c r="EC21" s="250"/>
      <c r="ED21" s="250"/>
      <c r="EE21" s="250"/>
      <c r="EF21" s="250"/>
      <c r="EG21" s="250"/>
      <c r="EH21" s="250"/>
      <c r="EI21" s="250"/>
      <c r="EJ21" s="250"/>
      <c r="EK21" s="250"/>
      <c r="EL21" s="250"/>
      <c r="EM21" s="250"/>
      <c r="EN21" s="250"/>
      <c r="EO21" s="250"/>
      <c r="EP21" s="250"/>
      <c r="EQ21" s="250"/>
      <c r="ER21" s="250"/>
      <c r="ES21" s="250"/>
      <c r="ET21" s="250"/>
      <c r="EU21" s="250"/>
      <c r="EV21" s="250"/>
      <c r="EW21" s="250"/>
      <c r="EX21" s="250"/>
      <c r="EY21" s="250"/>
      <c r="EZ21" s="250"/>
      <c r="FA21" s="250"/>
      <c r="FB21" s="250"/>
      <c r="FC21" s="250"/>
      <c r="FD21" s="250"/>
      <c r="FE21" s="250"/>
      <c r="FF21" s="250"/>
      <c r="FG21" s="250"/>
      <c r="FH21" s="250"/>
      <c r="FI21" s="250"/>
      <c r="FJ21" s="250"/>
      <c r="FK21" s="250"/>
      <c r="FL21" s="250"/>
      <c r="FM21" s="250"/>
      <c r="FN21" s="250"/>
      <c r="FO21" s="250"/>
      <c r="FP21" s="250"/>
      <c r="FQ21" s="250"/>
      <c r="FR21" s="250"/>
      <c r="FS21" s="250"/>
      <c r="FT21" s="250"/>
      <c r="FU21" s="250"/>
      <c r="FV21" s="250"/>
      <c r="FW21" s="250"/>
      <c r="FX21" s="250"/>
      <c r="FY21" s="250"/>
      <c r="FZ21" s="250"/>
      <c r="GA21" s="250"/>
    </row>
    <row r="22" spans="1:184" s="239" customFormat="1" ht="12.95" customHeight="1" x14ac:dyDescent="0.25">
      <c r="A22" s="228">
        <v>324</v>
      </c>
      <c r="B22" s="240" t="s">
        <v>58</v>
      </c>
      <c r="C22" s="242" t="s">
        <v>59</v>
      </c>
      <c r="D22" s="251" t="s">
        <v>575</v>
      </c>
      <c r="E22" s="251" t="s">
        <v>576</v>
      </c>
      <c r="F22" s="251" t="s">
        <v>576</v>
      </c>
      <c r="G22" s="251" t="s">
        <v>576</v>
      </c>
      <c r="H22" s="251" t="s">
        <v>575</v>
      </c>
      <c r="I22" s="251" t="s">
        <v>574</v>
      </c>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51"/>
      <c r="CN22" s="251"/>
      <c r="CO22" s="251"/>
      <c r="CP22" s="251"/>
      <c r="CQ22" s="251"/>
      <c r="CR22" s="251"/>
      <c r="CS22" s="251"/>
      <c r="CT22" s="251"/>
      <c r="CU22" s="251"/>
      <c r="CV22" s="251"/>
      <c r="CW22" s="251"/>
      <c r="CX22" s="251"/>
      <c r="CY22" s="251"/>
      <c r="CZ22" s="251"/>
      <c r="DA22" s="251"/>
      <c r="DB22" s="251"/>
      <c r="DC22" s="251"/>
      <c r="DD22" s="251"/>
      <c r="DE22" s="251"/>
      <c r="DF22" s="251"/>
      <c r="DG22" s="251"/>
      <c r="DH22" s="251"/>
      <c r="DI22" s="251"/>
      <c r="DJ22" s="251"/>
      <c r="DK22" s="251"/>
      <c r="DL22" s="251"/>
      <c r="DM22" s="251"/>
      <c r="DN22" s="251"/>
      <c r="DO22" s="251"/>
      <c r="DP22" s="251"/>
      <c r="DQ22" s="251"/>
      <c r="DR22" s="251"/>
      <c r="DS22" s="251"/>
      <c r="DT22" s="251"/>
      <c r="DU22" s="251"/>
      <c r="DV22" s="251"/>
      <c r="DW22" s="251"/>
      <c r="DX22" s="251"/>
      <c r="DY22" s="251"/>
      <c r="DZ22" s="251"/>
      <c r="EA22" s="251"/>
      <c r="EB22" s="251"/>
      <c r="EC22" s="251"/>
      <c r="ED22" s="251"/>
      <c r="EE22" s="251"/>
      <c r="EF22" s="251"/>
      <c r="EG22" s="251"/>
      <c r="EH22" s="251"/>
      <c r="EI22" s="251"/>
      <c r="EJ22" s="251"/>
      <c r="EK22" s="251"/>
      <c r="EL22" s="251"/>
      <c r="EM22" s="251"/>
      <c r="EN22" s="251"/>
      <c r="EO22" s="251"/>
      <c r="EP22" s="251"/>
      <c r="EQ22" s="251"/>
      <c r="ER22" s="251"/>
      <c r="ES22" s="251"/>
      <c r="ET22" s="251"/>
      <c r="EU22" s="251"/>
      <c r="EV22" s="251"/>
      <c r="EW22" s="251"/>
      <c r="EX22" s="251"/>
      <c r="EY22" s="251"/>
      <c r="EZ22" s="251"/>
      <c r="FA22" s="251"/>
      <c r="FB22" s="251"/>
      <c r="FC22" s="251"/>
      <c r="FD22" s="251"/>
      <c r="FE22" s="251"/>
      <c r="FF22" s="251"/>
      <c r="FG22" s="251"/>
      <c r="FH22" s="251"/>
      <c r="FI22" s="251"/>
      <c r="FJ22" s="251"/>
      <c r="FK22" s="251"/>
      <c r="FL22" s="251"/>
      <c r="FM22" s="251"/>
      <c r="FN22" s="251"/>
      <c r="FO22" s="251"/>
      <c r="FP22" s="251"/>
      <c r="FQ22" s="251"/>
      <c r="FR22" s="251"/>
      <c r="FS22" s="251"/>
      <c r="FT22" s="251"/>
      <c r="FU22" s="251"/>
      <c r="FV22" s="251"/>
      <c r="FW22" s="251"/>
      <c r="FX22" s="251"/>
      <c r="FY22" s="251"/>
      <c r="FZ22" s="251"/>
      <c r="GA22" s="251"/>
      <c r="GB22" s="248"/>
    </row>
    <row r="23" spans="1:184" s="252" customFormat="1" ht="12.95" customHeight="1" x14ac:dyDescent="0.25">
      <c r="A23" s="228">
        <v>325</v>
      </c>
      <c r="B23" s="242" t="s">
        <v>337</v>
      </c>
      <c r="C23" s="237" t="s">
        <v>60</v>
      </c>
      <c r="D23" s="245">
        <v>80000</v>
      </c>
      <c r="E23" s="245">
        <v>50000</v>
      </c>
      <c r="F23" s="245">
        <v>0</v>
      </c>
      <c r="G23" s="245">
        <v>0</v>
      </c>
      <c r="H23" s="245">
        <v>20000</v>
      </c>
      <c r="I23" s="245">
        <v>500000</v>
      </c>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5"/>
      <c r="BO23" s="245"/>
      <c r="BP23" s="245"/>
      <c r="BQ23" s="245"/>
      <c r="BR23" s="245"/>
      <c r="BS23" s="245"/>
      <c r="BT23" s="245"/>
      <c r="BU23" s="245"/>
      <c r="BV23" s="245"/>
      <c r="BW23" s="245"/>
      <c r="BX23" s="245"/>
      <c r="BY23" s="245"/>
      <c r="BZ23" s="245"/>
      <c r="CA23" s="245"/>
      <c r="CB23" s="245"/>
      <c r="CC23" s="245"/>
      <c r="CD23" s="245"/>
      <c r="CE23" s="245"/>
      <c r="CF23" s="245"/>
      <c r="CG23" s="245"/>
      <c r="CH23" s="245"/>
      <c r="CI23" s="245"/>
      <c r="CJ23" s="245"/>
      <c r="CK23" s="245"/>
      <c r="CL23" s="245"/>
      <c r="CM23" s="245"/>
      <c r="CN23" s="245"/>
      <c r="CO23" s="245"/>
      <c r="CP23" s="245"/>
      <c r="CQ23" s="245"/>
      <c r="CR23" s="245"/>
      <c r="CS23" s="245"/>
      <c r="CT23" s="245"/>
      <c r="CU23" s="245"/>
      <c r="CV23" s="245"/>
      <c r="CW23" s="245"/>
      <c r="CX23" s="245"/>
      <c r="CY23" s="245"/>
      <c r="CZ23" s="245"/>
      <c r="DA23" s="245"/>
      <c r="DB23" s="245"/>
      <c r="DC23" s="245"/>
      <c r="DD23" s="245"/>
      <c r="DE23" s="245"/>
      <c r="DF23" s="245"/>
      <c r="DG23" s="245"/>
      <c r="DH23" s="245"/>
      <c r="DI23" s="245"/>
      <c r="DJ23" s="245"/>
      <c r="DK23" s="245"/>
      <c r="DL23" s="245"/>
      <c r="DM23" s="245"/>
      <c r="DN23" s="245"/>
      <c r="DO23" s="245"/>
      <c r="DP23" s="245"/>
      <c r="DQ23" s="245"/>
      <c r="DR23" s="245"/>
      <c r="DS23" s="245"/>
      <c r="DT23" s="245"/>
      <c r="DU23" s="245"/>
      <c r="DV23" s="245"/>
      <c r="DW23" s="245"/>
      <c r="DX23" s="245"/>
      <c r="DY23" s="245"/>
      <c r="DZ23" s="245"/>
      <c r="EA23" s="245"/>
      <c r="EB23" s="245"/>
      <c r="EC23" s="245"/>
      <c r="ED23" s="245"/>
      <c r="EE23" s="245"/>
      <c r="EF23" s="245"/>
      <c r="EG23" s="245"/>
      <c r="EH23" s="245"/>
      <c r="EI23" s="245"/>
      <c r="EJ23" s="245"/>
      <c r="EK23" s="245"/>
      <c r="EL23" s="245"/>
      <c r="EM23" s="245"/>
      <c r="EN23" s="245"/>
      <c r="EO23" s="245"/>
      <c r="EP23" s="245"/>
      <c r="EQ23" s="245"/>
      <c r="ER23" s="245"/>
      <c r="ES23" s="245"/>
      <c r="ET23" s="245"/>
      <c r="EU23" s="245"/>
      <c r="EV23" s="245"/>
      <c r="EW23" s="245"/>
      <c r="EX23" s="245"/>
      <c r="EY23" s="245"/>
      <c r="EZ23" s="245"/>
      <c r="FA23" s="245"/>
      <c r="FB23" s="245"/>
      <c r="FC23" s="245"/>
      <c r="FD23" s="245"/>
      <c r="FE23" s="245"/>
      <c r="FF23" s="245"/>
      <c r="FG23" s="245"/>
      <c r="FH23" s="245"/>
      <c r="FI23" s="245"/>
      <c r="FJ23" s="245"/>
      <c r="FK23" s="245"/>
      <c r="FL23" s="245"/>
      <c r="FM23" s="245"/>
      <c r="FN23" s="245"/>
      <c r="FO23" s="245"/>
      <c r="FP23" s="245"/>
      <c r="FQ23" s="245"/>
      <c r="FR23" s="245"/>
      <c r="FS23" s="245"/>
      <c r="FT23" s="245"/>
      <c r="FU23" s="245"/>
      <c r="FV23" s="245"/>
      <c r="FW23" s="245"/>
      <c r="FX23" s="245"/>
      <c r="FY23" s="245"/>
      <c r="FZ23" s="245"/>
      <c r="GA23" s="245"/>
      <c r="GB23" s="239"/>
    </row>
    <row r="24" spans="1:184" s="254" customFormat="1" ht="12.95" customHeight="1" x14ac:dyDescent="0.25">
      <c r="A24" s="228">
        <v>330</v>
      </c>
      <c r="B24" s="242"/>
      <c r="C24" s="237" t="s">
        <v>338</v>
      </c>
      <c r="D24" s="253">
        <f t="shared" ref="D24:AI24" si="0">IF(ISBLANK(D22),0,D23/VLOOKUP(D22,$B$35:$E$38,4,0))</f>
        <v>4000</v>
      </c>
      <c r="E24" s="253">
        <f t="shared" si="0"/>
        <v>1666.6666666666667</v>
      </c>
      <c r="F24" s="253">
        <f t="shared" si="0"/>
        <v>0</v>
      </c>
      <c r="G24" s="253">
        <f t="shared" si="0"/>
        <v>0</v>
      </c>
      <c r="H24" s="253">
        <f t="shared" si="0"/>
        <v>1000</v>
      </c>
      <c r="I24" s="253">
        <f t="shared" si="0"/>
        <v>50000</v>
      </c>
      <c r="J24" s="253">
        <f t="shared" si="0"/>
        <v>0</v>
      </c>
      <c r="K24" s="253">
        <f t="shared" si="0"/>
        <v>0</v>
      </c>
      <c r="L24" s="253">
        <f t="shared" si="0"/>
        <v>0</v>
      </c>
      <c r="M24" s="253">
        <f t="shared" si="0"/>
        <v>0</v>
      </c>
      <c r="N24" s="253">
        <f t="shared" si="0"/>
        <v>0</v>
      </c>
      <c r="O24" s="253">
        <f t="shared" si="0"/>
        <v>0</v>
      </c>
      <c r="P24" s="253">
        <f t="shared" si="0"/>
        <v>0</v>
      </c>
      <c r="Q24" s="253">
        <f t="shared" si="0"/>
        <v>0</v>
      </c>
      <c r="R24" s="253">
        <f t="shared" si="0"/>
        <v>0</v>
      </c>
      <c r="S24" s="253">
        <f t="shared" si="0"/>
        <v>0</v>
      </c>
      <c r="T24" s="253">
        <f t="shared" si="0"/>
        <v>0</v>
      </c>
      <c r="U24" s="253">
        <f t="shared" si="0"/>
        <v>0</v>
      </c>
      <c r="V24" s="253">
        <f t="shared" si="0"/>
        <v>0</v>
      </c>
      <c r="W24" s="253">
        <f t="shared" si="0"/>
        <v>0</v>
      </c>
      <c r="X24" s="253">
        <f t="shared" si="0"/>
        <v>0</v>
      </c>
      <c r="Y24" s="253">
        <f t="shared" si="0"/>
        <v>0</v>
      </c>
      <c r="Z24" s="253">
        <f t="shared" si="0"/>
        <v>0</v>
      </c>
      <c r="AA24" s="253">
        <f t="shared" si="0"/>
        <v>0</v>
      </c>
      <c r="AB24" s="253">
        <f t="shared" si="0"/>
        <v>0</v>
      </c>
      <c r="AC24" s="253">
        <f t="shared" si="0"/>
        <v>0</v>
      </c>
      <c r="AD24" s="253">
        <f t="shared" si="0"/>
        <v>0</v>
      </c>
      <c r="AE24" s="253">
        <f t="shared" si="0"/>
        <v>0</v>
      </c>
      <c r="AF24" s="253">
        <f t="shared" si="0"/>
        <v>0</v>
      </c>
      <c r="AG24" s="253">
        <f t="shared" si="0"/>
        <v>0</v>
      </c>
      <c r="AH24" s="253">
        <f t="shared" si="0"/>
        <v>0</v>
      </c>
      <c r="AI24" s="253">
        <f t="shared" si="0"/>
        <v>0</v>
      </c>
      <c r="AJ24" s="253">
        <f t="shared" ref="AJ24:BO24" si="1">IF(ISBLANK(AJ22),0,AJ23/VLOOKUP(AJ22,$B$35:$E$38,4,0))</f>
        <v>0</v>
      </c>
      <c r="AK24" s="253">
        <f t="shared" si="1"/>
        <v>0</v>
      </c>
      <c r="AL24" s="253">
        <f t="shared" si="1"/>
        <v>0</v>
      </c>
      <c r="AM24" s="253">
        <f t="shared" si="1"/>
        <v>0</v>
      </c>
      <c r="AN24" s="253">
        <f t="shared" si="1"/>
        <v>0</v>
      </c>
      <c r="AO24" s="253">
        <f t="shared" si="1"/>
        <v>0</v>
      </c>
      <c r="AP24" s="253">
        <f t="shared" si="1"/>
        <v>0</v>
      </c>
      <c r="AQ24" s="253">
        <f t="shared" si="1"/>
        <v>0</v>
      </c>
      <c r="AR24" s="253">
        <f t="shared" si="1"/>
        <v>0</v>
      </c>
      <c r="AS24" s="253">
        <f t="shared" si="1"/>
        <v>0</v>
      </c>
      <c r="AT24" s="253">
        <f t="shared" si="1"/>
        <v>0</v>
      </c>
      <c r="AU24" s="253">
        <f t="shared" si="1"/>
        <v>0</v>
      </c>
      <c r="AV24" s="253">
        <f t="shared" si="1"/>
        <v>0</v>
      </c>
      <c r="AW24" s="253">
        <f t="shared" si="1"/>
        <v>0</v>
      </c>
      <c r="AX24" s="253">
        <f t="shared" si="1"/>
        <v>0</v>
      </c>
      <c r="AY24" s="253">
        <f t="shared" si="1"/>
        <v>0</v>
      </c>
      <c r="AZ24" s="253">
        <f t="shared" si="1"/>
        <v>0</v>
      </c>
      <c r="BA24" s="253">
        <f t="shared" si="1"/>
        <v>0</v>
      </c>
      <c r="BB24" s="253">
        <f t="shared" si="1"/>
        <v>0</v>
      </c>
      <c r="BC24" s="253">
        <f t="shared" si="1"/>
        <v>0</v>
      </c>
      <c r="BD24" s="253">
        <f t="shared" si="1"/>
        <v>0</v>
      </c>
      <c r="BE24" s="253">
        <f t="shared" si="1"/>
        <v>0</v>
      </c>
      <c r="BF24" s="253">
        <f t="shared" si="1"/>
        <v>0</v>
      </c>
      <c r="BG24" s="253">
        <f t="shared" si="1"/>
        <v>0</v>
      </c>
      <c r="BH24" s="253">
        <f t="shared" si="1"/>
        <v>0</v>
      </c>
      <c r="BI24" s="253">
        <f t="shared" si="1"/>
        <v>0</v>
      </c>
      <c r="BJ24" s="253">
        <f t="shared" si="1"/>
        <v>0</v>
      </c>
      <c r="BK24" s="253">
        <f t="shared" si="1"/>
        <v>0</v>
      </c>
      <c r="BL24" s="253">
        <f t="shared" si="1"/>
        <v>0</v>
      </c>
      <c r="BM24" s="253">
        <f t="shared" si="1"/>
        <v>0</v>
      </c>
      <c r="BN24" s="253">
        <f t="shared" si="1"/>
        <v>0</v>
      </c>
      <c r="BO24" s="253">
        <f t="shared" si="1"/>
        <v>0</v>
      </c>
      <c r="BP24" s="253">
        <f t="shared" ref="BP24:CU24" si="2">IF(ISBLANK(BP22),0,BP23/VLOOKUP(BP22,$B$35:$E$38,4,0))</f>
        <v>0</v>
      </c>
      <c r="BQ24" s="253">
        <f t="shared" si="2"/>
        <v>0</v>
      </c>
      <c r="BR24" s="253">
        <f t="shared" si="2"/>
        <v>0</v>
      </c>
      <c r="BS24" s="253">
        <f t="shared" si="2"/>
        <v>0</v>
      </c>
      <c r="BT24" s="253">
        <f t="shared" si="2"/>
        <v>0</v>
      </c>
      <c r="BU24" s="253">
        <f t="shared" si="2"/>
        <v>0</v>
      </c>
      <c r="BV24" s="253">
        <f t="shared" si="2"/>
        <v>0</v>
      </c>
      <c r="BW24" s="253">
        <f t="shared" si="2"/>
        <v>0</v>
      </c>
      <c r="BX24" s="253">
        <f t="shared" si="2"/>
        <v>0</v>
      </c>
      <c r="BY24" s="253">
        <f t="shared" si="2"/>
        <v>0</v>
      </c>
      <c r="BZ24" s="253">
        <f t="shared" si="2"/>
        <v>0</v>
      </c>
      <c r="CA24" s="253">
        <f t="shared" si="2"/>
        <v>0</v>
      </c>
      <c r="CB24" s="253">
        <f t="shared" si="2"/>
        <v>0</v>
      </c>
      <c r="CC24" s="253">
        <f t="shared" si="2"/>
        <v>0</v>
      </c>
      <c r="CD24" s="253">
        <f t="shared" si="2"/>
        <v>0</v>
      </c>
      <c r="CE24" s="253">
        <f t="shared" si="2"/>
        <v>0</v>
      </c>
      <c r="CF24" s="253">
        <f t="shared" si="2"/>
        <v>0</v>
      </c>
      <c r="CG24" s="253">
        <f t="shared" si="2"/>
        <v>0</v>
      </c>
      <c r="CH24" s="253">
        <f t="shared" si="2"/>
        <v>0</v>
      </c>
      <c r="CI24" s="253">
        <f t="shared" si="2"/>
        <v>0</v>
      </c>
      <c r="CJ24" s="253">
        <f t="shared" si="2"/>
        <v>0</v>
      </c>
      <c r="CK24" s="253">
        <f t="shared" si="2"/>
        <v>0</v>
      </c>
      <c r="CL24" s="253">
        <f t="shared" si="2"/>
        <v>0</v>
      </c>
      <c r="CM24" s="253">
        <f t="shared" si="2"/>
        <v>0</v>
      </c>
      <c r="CN24" s="253">
        <f t="shared" si="2"/>
        <v>0</v>
      </c>
      <c r="CO24" s="253">
        <f t="shared" si="2"/>
        <v>0</v>
      </c>
      <c r="CP24" s="253">
        <f t="shared" si="2"/>
        <v>0</v>
      </c>
      <c r="CQ24" s="253">
        <f t="shared" si="2"/>
        <v>0</v>
      </c>
      <c r="CR24" s="253">
        <f t="shared" si="2"/>
        <v>0</v>
      </c>
      <c r="CS24" s="253">
        <f t="shared" si="2"/>
        <v>0</v>
      </c>
      <c r="CT24" s="253">
        <f t="shared" si="2"/>
        <v>0</v>
      </c>
      <c r="CU24" s="253">
        <f t="shared" si="2"/>
        <v>0</v>
      </c>
      <c r="CV24" s="253">
        <f t="shared" ref="CV24:EA24" si="3">IF(ISBLANK(CV22),0,CV23/VLOOKUP(CV22,$B$35:$E$38,4,0))</f>
        <v>0</v>
      </c>
      <c r="CW24" s="253">
        <f t="shared" si="3"/>
        <v>0</v>
      </c>
      <c r="CX24" s="253">
        <f t="shared" si="3"/>
        <v>0</v>
      </c>
      <c r="CY24" s="253">
        <f t="shared" si="3"/>
        <v>0</v>
      </c>
      <c r="CZ24" s="253">
        <f t="shared" si="3"/>
        <v>0</v>
      </c>
      <c r="DA24" s="253">
        <f t="shared" si="3"/>
        <v>0</v>
      </c>
      <c r="DB24" s="253">
        <f t="shared" si="3"/>
        <v>0</v>
      </c>
      <c r="DC24" s="253">
        <f t="shared" si="3"/>
        <v>0</v>
      </c>
      <c r="DD24" s="253">
        <f t="shared" si="3"/>
        <v>0</v>
      </c>
      <c r="DE24" s="253">
        <f t="shared" si="3"/>
        <v>0</v>
      </c>
      <c r="DF24" s="253">
        <f t="shared" si="3"/>
        <v>0</v>
      </c>
      <c r="DG24" s="253">
        <f t="shared" si="3"/>
        <v>0</v>
      </c>
      <c r="DH24" s="253">
        <f t="shared" si="3"/>
        <v>0</v>
      </c>
      <c r="DI24" s="253">
        <f t="shared" si="3"/>
        <v>0</v>
      </c>
      <c r="DJ24" s="253">
        <f t="shared" si="3"/>
        <v>0</v>
      </c>
      <c r="DK24" s="253">
        <f t="shared" si="3"/>
        <v>0</v>
      </c>
      <c r="DL24" s="253">
        <f t="shared" si="3"/>
        <v>0</v>
      </c>
      <c r="DM24" s="253">
        <f t="shared" si="3"/>
        <v>0</v>
      </c>
      <c r="DN24" s="253">
        <f t="shared" si="3"/>
        <v>0</v>
      </c>
      <c r="DO24" s="253">
        <f t="shared" si="3"/>
        <v>0</v>
      </c>
      <c r="DP24" s="253">
        <f t="shared" si="3"/>
        <v>0</v>
      </c>
      <c r="DQ24" s="253">
        <f t="shared" si="3"/>
        <v>0</v>
      </c>
      <c r="DR24" s="253">
        <f t="shared" si="3"/>
        <v>0</v>
      </c>
      <c r="DS24" s="253">
        <f t="shared" si="3"/>
        <v>0</v>
      </c>
      <c r="DT24" s="253">
        <f t="shared" si="3"/>
        <v>0</v>
      </c>
      <c r="DU24" s="253">
        <f t="shared" si="3"/>
        <v>0</v>
      </c>
      <c r="DV24" s="253">
        <f t="shared" si="3"/>
        <v>0</v>
      </c>
      <c r="DW24" s="253">
        <f t="shared" si="3"/>
        <v>0</v>
      </c>
      <c r="DX24" s="253">
        <f t="shared" si="3"/>
        <v>0</v>
      </c>
      <c r="DY24" s="253">
        <f t="shared" si="3"/>
        <v>0</v>
      </c>
      <c r="DZ24" s="253">
        <f t="shared" si="3"/>
        <v>0</v>
      </c>
      <c r="EA24" s="253">
        <f t="shared" si="3"/>
        <v>0</v>
      </c>
      <c r="EB24" s="253">
        <f t="shared" ref="EB24:FG24" si="4">IF(ISBLANK(EB22),0,EB23/VLOOKUP(EB22,$B$35:$E$38,4,0))</f>
        <v>0</v>
      </c>
      <c r="EC24" s="253">
        <f t="shared" si="4"/>
        <v>0</v>
      </c>
      <c r="ED24" s="253">
        <f t="shared" si="4"/>
        <v>0</v>
      </c>
      <c r="EE24" s="253">
        <f t="shared" si="4"/>
        <v>0</v>
      </c>
      <c r="EF24" s="253">
        <f t="shared" si="4"/>
        <v>0</v>
      </c>
      <c r="EG24" s="253">
        <f t="shared" si="4"/>
        <v>0</v>
      </c>
      <c r="EH24" s="253">
        <f t="shared" si="4"/>
        <v>0</v>
      </c>
      <c r="EI24" s="253">
        <f t="shared" si="4"/>
        <v>0</v>
      </c>
      <c r="EJ24" s="253">
        <f t="shared" si="4"/>
        <v>0</v>
      </c>
      <c r="EK24" s="253">
        <f t="shared" si="4"/>
        <v>0</v>
      </c>
      <c r="EL24" s="253">
        <f t="shared" si="4"/>
        <v>0</v>
      </c>
      <c r="EM24" s="253">
        <f t="shared" si="4"/>
        <v>0</v>
      </c>
      <c r="EN24" s="253">
        <f t="shared" si="4"/>
        <v>0</v>
      </c>
      <c r="EO24" s="253">
        <f t="shared" si="4"/>
        <v>0</v>
      </c>
      <c r="EP24" s="253">
        <f t="shared" si="4"/>
        <v>0</v>
      </c>
      <c r="EQ24" s="253">
        <f t="shared" si="4"/>
        <v>0</v>
      </c>
      <c r="ER24" s="253">
        <f t="shared" si="4"/>
        <v>0</v>
      </c>
      <c r="ES24" s="253">
        <f t="shared" si="4"/>
        <v>0</v>
      </c>
      <c r="ET24" s="253">
        <f t="shared" si="4"/>
        <v>0</v>
      </c>
      <c r="EU24" s="253">
        <f t="shared" si="4"/>
        <v>0</v>
      </c>
      <c r="EV24" s="253">
        <f t="shared" si="4"/>
        <v>0</v>
      </c>
      <c r="EW24" s="253">
        <f t="shared" si="4"/>
        <v>0</v>
      </c>
      <c r="EX24" s="253">
        <f t="shared" si="4"/>
        <v>0</v>
      </c>
      <c r="EY24" s="253">
        <f t="shared" si="4"/>
        <v>0</v>
      </c>
      <c r="EZ24" s="253">
        <f t="shared" si="4"/>
        <v>0</v>
      </c>
      <c r="FA24" s="253">
        <f t="shared" si="4"/>
        <v>0</v>
      </c>
      <c r="FB24" s="253">
        <f t="shared" si="4"/>
        <v>0</v>
      </c>
      <c r="FC24" s="253">
        <f t="shared" si="4"/>
        <v>0</v>
      </c>
      <c r="FD24" s="253">
        <f t="shared" si="4"/>
        <v>0</v>
      </c>
      <c r="FE24" s="253">
        <f t="shared" si="4"/>
        <v>0</v>
      </c>
      <c r="FF24" s="253">
        <f t="shared" si="4"/>
        <v>0</v>
      </c>
      <c r="FG24" s="253">
        <f t="shared" si="4"/>
        <v>0</v>
      </c>
      <c r="FH24" s="253">
        <f t="shared" ref="FH24:GA24" si="5">IF(ISBLANK(FH22),0,FH23/VLOOKUP(FH22,$B$35:$E$38,4,0))</f>
        <v>0</v>
      </c>
      <c r="FI24" s="253">
        <f t="shared" si="5"/>
        <v>0</v>
      </c>
      <c r="FJ24" s="253">
        <f t="shared" si="5"/>
        <v>0</v>
      </c>
      <c r="FK24" s="253">
        <f t="shared" si="5"/>
        <v>0</v>
      </c>
      <c r="FL24" s="253">
        <f t="shared" si="5"/>
        <v>0</v>
      </c>
      <c r="FM24" s="253">
        <f t="shared" si="5"/>
        <v>0</v>
      </c>
      <c r="FN24" s="253">
        <f t="shared" si="5"/>
        <v>0</v>
      </c>
      <c r="FO24" s="253">
        <f t="shared" si="5"/>
        <v>0</v>
      </c>
      <c r="FP24" s="253">
        <f t="shared" si="5"/>
        <v>0</v>
      </c>
      <c r="FQ24" s="253">
        <f t="shared" si="5"/>
        <v>0</v>
      </c>
      <c r="FR24" s="253">
        <f t="shared" si="5"/>
        <v>0</v>
      </c>
      <c r="FS24" s="253">
        <f t="shared" si="5"/>
        <v>0</v>
      </c>
      <c r="FT24" s="253">
        <f t="shared" si="5"/>
        <v>0</v>
      </c>
      <c r="FU24" s="253">
        <f t="shared" si="5"/>
        <v>0</v>
      </c>
      <c r="FV24" s="253">
        <f t="shared" si="5"/>
        <v>0</v>
      </c>
      <c r="FW24" s="253">
        <f t="shared" si="5"/>
        <v>0</v>
      </c>
      <c r="FX24" s="253">
        <f t="shared" si="5"/>
        <v>0</v>
      </c>
      <c r="FY24" s="253">
        <f t="shared" si="5"/>
        <v>0</v>
      </c>
      <c r="FZ24" s="253">
        <f t="shared" si="5"/>
        <v>0</v>
      </c>
      <c r="GA24" s="253">
        <f t="shared" si="5"/>
        <v>0</v>
      </c>
      <c r="GB24" s="239"/>
    </row>
    <row r="25" spans="1:184" s="254" customFormat="1" ht="12.95" customHeight="1" x14ac:dyDescent="0.25">
      <c r="A25" s="228">
        <v>331</v>
      </c>
      <c r="B25" s="242"/>
      <c r="C25" s="237" t="s">
        <v>339</v>
      </c>
      <c r="D25" s="362">
        <f>IF(ISBLANK(D22),0,(D19*VLOOKUP(D22,$B$35:$D$38,3,0)))</f>
        <v>12750</v>
      </c>
      <c r="E25" s="362">
        <f t="shared" ref="E25:BP25" si="6">IF(ISBLANK(E22),0,(E19*VLOOKUP(E22,$B$35:$D$38,3,0)))</f>
        <v>2750</v>
      </c>
      <c r="F25" s="362">
        <f t="shared" si="6"/>
        <v>2200</v>
      </c>
      <c r="G25" s="362">
        <f t="shared" si="6"/>
        <v>1650</v>
      </c>
      <c r="H25" s="362">
        <f t="shared" si="6"/>
        <v>1700</v>
      </c>
      <c r="I25" s="362">
        <f t="shared" si="6"/>
        <v>75000</v>
      </c>
      <c r="J25" s="362">
        <f t="shared" si="6"/>
        <v>0</v>
      </c>
      <c r="K25" s="362">
        <f t="shared" si="6"/>
        <v>0</v>
      </c>
      <c r="L25" s="362">
        <f t="shared" si="6"/>
        <v>0</v>
      </c>
      <c r="M25" s="362">
        <f t="shared" si="6"/>
        <v>0</v>
      </c>
      <c r="N25" s="362">
        <f t="shared" si="6"/>
        <v>0</v>
      </c>
      <c r="O25" s="362">
        <f t="shared" si="6"/>
        <v>0</v>
      </c>
      <c r="P25" s="362">
        <f t="shared" si="6"/>
        <v>0</v>
      </c>
      <c r="Q25" s="362">
        <f t="shared" si="6"/>
        <v>0</v>
      </c>
      <c r="R25" s="362">
        <f t="shared" si="6"/>
        <v>0</v>
      </c>
      <c r="S25" s="362">
        <f t="shared" si="6"/>
        <v>0</v>
      </c>
      <c r="T25" s="362">
        <f t="shared" si="6"/>
        <v>0</v>
      </c>
      <c r="U25" s="362">
        <f t="shared" si="6"/>
        <v>0</v>
      </c>
      <c r="V25" s="362">
        <f t="shared" si="6"/>
        <v>0</v>
      </c>
      <c r="W25" s="362">
        <f t="shared" si="6"/>
        <v>0</v>
      </c>
      <c r="X25" s="362">
        <f t="shared" si="6"/>
        <v>0</v>
      </c>
      <c r="Y25" s="362">
        <f t="shared" si="6"/>
        <v>0</v>
      </c>
      <c r="Z25" s="362">
        <f t="shared" si="6"/>
        <v>0</v>
      </c>
      <c r="AA25" s="362">
        <f t="shared" si="6"/>
        <v>0</v>
      </c>
      <c r="AB25" s="362">
        <f t="shared" si="6"/>
        <v>0</v>
      </c>
      <c r="AC25" s="362">
        <f t="shared" si="6"/>
        <v>0</v>
      </c>
      <c r="AD25" s="362">
        <f t="shared" si="6"/>
        <v>0</v>
      </c>
      <c r="AE25" s="362">
        <f t="shared" si="6"/>
        <v>0</v>
      </c>
      <c r="AF25" s="362">
        <f t="shared" si="6"/>
        <v>0</v>
      </c>
      <c r="AG25" s="362">
        <f t="shared" si="6"/>
        <v>0</v>
      </c>
      <c r="AH25" s="362">
        <f t="shared" si="6"/>
        <v>0</v>
      </c>
      <c r="AI25" s="362">
        <f t="shared" si="6"/>
        <v>0</v>
      </c>
      <c r="AJ25" s="362">
        <f t="shared" si="6"/>
        <v>0</v>
      </c>
      <c r="AK25" s="362">
        <f t="shared" si="6"/>
        <v>0</v>
      </c>
      <c r="AL25" s="362">
        <f t="shared" si="6"/>
        <v>0</v>
      </c>
      <c r="AM25" s="362">
        <f t="shared" si="6"/>
        <v>0</v>
      </c>
      <c r="AN25" s="362">
        <f t="shared" si="6"/>
        <v>0</v>
      </c>
      <c r="AO25" s="362">
        <f t="shared" si="6"/>
        <v>0</v>
      </c>
      <c r="AP25" s="362">
        <f t="shared" si="6"/>
        <v>0</v>
      </c>
      <c r="AQ25" s="362">
        <f t="shared" si="6"/>
        <v>0</v>
      </c>
      <c r="AR25" s="362">
        <f t="shared" si="6"/>
        <v>0</v>
      </c>
      <c r="AS25" s="362">
        <f t="shared" si="6"/>
        <v>0</v>
      </c>
      <c r="AT25" s="362">
        <f t="shared" si="6"/>
        <v>0</v>
      </c>
      <c r="AU25" s="362">
        <f t="shared" si="6"/>
        <v>0</v>
      </c>
      <c r="AV25" s="362">
        <f t="shared" si="6"/>
        <v>0</v>
      </c>
      <c r="AW25" s="362">
        <f t="shared" si="6"/>
        <v>0</v>
      </c>
      <c r="AX25" s="362">
        <f t="shared" si="6"/>
        <v>0</v>
      </c>
      <c r="AY25" s="362">
        <f t="shared" si="6"/>
        <v>0</v>
      </c>
      <c r="AZ25" s="362">
        <f t="shared" si="6"/>
        <v>0</v>
      </c>
      <c r="BA25" s="362">
        <f t="shared" si="6"/>
        <v>0</v>
      </c>
      <c r="BB25" s="362">
        <f t="shared" si="6"/>
        <v>0</v>
      </c>
      <c r="BC25" s="362">
        <f t="shared" si="6"/>
        <v>0</v>
      </c>
      <c r="BD25" s="362">
        <f t="shared" si="6"/>
        <v>0</v>
      </c>
      <c r="BE25" s="362">
        <f t="shared" si="6"/>
        <v>0</v>
      </c>
      <c r="BF25" s="362">
        <f t="shared" si="6"/>
        <v>0</v>
      </c>
      <c r="BG25" s="362">
        <f t="shared" si="6"/>
        <v>0</v>
      </c>
      <c r="BH25" s="362">
        <f t="shared" si="6"/>
        <v>0</v>
      </c>
      <c r="BI25" s="362">
        <f t="shared" si="6"/>
        <v>0</v>
      </c>
      <c r="BJ25" s="362">
        <f t="shared" si="6"/>
        <v>0</v>
      </c>
      <c r="BK25" s="362">
        <f t="shared" si="6"/>
        <v>0</v>
      </c>
      <c r="BL25" s="362">
        <f t="shared" si="6"/>
        <v>0</v>
      </c>
      <c r="BM25" s="362">
        <f t="shared" si="6"/>
        <v>0</v>
      </c>
      <c r="BN25" s="362">
        <f t="shared" si="6"/>
        <v>0</v>
      </c>
      <c r="BO25" s="362">
        <f t="shared" si="6"/>
        <v>0</v>
      </c>
      <c r="BP25" s="362">
        <f t="shared" si="6"/>
        <v>0</v>
      </c>
      <c r="BQ25" s="362">
        <f t="shared" ref="BQ25:EB25" si="7">IF(ISBLANK(BQ22),0,(BQ19*VLOOKUP(BQ22,$B$35:$D$38,3,0)))</f>
        <v>0</v>
      </c>
      <c r="BR25" s="362">
        <f t="shared" si="7"/>
        <v>0</v>
      </c>
      <c r="BS25" s="362">
        <f t="shared" si="7"/>
        <v>0</v>
      </c>
      <c r="BT25" s="362">
        <f t="shared" si="7"/>
        <v>0</v>
      </c>
      <c r="BU25" s="362">
        <f t="shared" si="7"/>
        <v>0</v>
      </c>
      <c r="BV25" s="362">
        <f t="shared" si="7"/>
        <v>0</v>
      </c>
      <c r="BW25" s="362">
        <f t="shared" si="7"/>
        <v>0</v>
      </c>
      <c r="BX25" s="362">
        <f t="shared" si="7"/>
        <v>0</v>
      </c>
      <c r="BY25" s="362">
        <f t="shared" si="7"/>
        <v>0</v>
      </c>
      <c r="BZ25" s="362">
        <f t="shared" si="7"/>
        <v>0</v>
      </c>
      <c r="CA25" s="362">
        <f t="shared" si="7"/>
        <v>0</v>
      </c>
      <c r="CB25" s="362">
        <f t="shared" si="7"/>
        <v>0</v>
      </c>
      <c r="CC25" s="362">
        <f t="shared" si="7"/>
        <v>0</v>
      </c>
      <c r="CD25" s="362">
        <f t="shared" si="7"/>
        <v>0</v>
      </c>
      <c r="CE25" s="362">
        <f t="shared" si="7"/>
        <v>0</v>
      </c>
      <c r="CF25" s="362">
        <f t="shared" si="7"/>
        <v>0</v>
      </c>
      <c r="CG25" s="362">
        <f t="shared" si="7"/>
        <v>0</v>
      </c>
      <c r="CH25" s="362">
        <f t="shared" si="7"/>
        <v>0</v>
      </c>
      <c r="CI25" s="362">
        <f t="shared" si="7"/>
        <v>0</v>
      </c>
      <c r="CJ25" s="362">
        <f t="shared" si="7"/>
        <v>0</v>
      </c>
      <c r="CK25" s="362">
        <f t="shared" si="7"/>
        <v>0</v>
      </c>
      <c r="CL25" s="362">
        <f t="shared" si="7"/>
        <v>0</v>
      </c>
      <c r="CM25" s="362">
        <f t="shared" si="7"/>
        <v>0</v>
      </c>
      <c r="CN25" s="362">
        <f t="shared" si="7"/>
        <v>0</v>
      </c>
      <c r="CO25" s="362">
        <f t="shared" si="7"/>
        <v>0</v>
      </c>
      <c r="CP25" s="362">
        <f t="shared" si="7"/>
        <v>0</v>
      </c>
      <c r="CQ25" s="362">
        <f t="shared" si="7"/>
        <v>0</v>
      </c>
      <c r="CR25" s="362">
        <f t="shared" si="7"/>
        <v>0</v>
      </c>
      <c r="CS25" s="362">
        <f t="shared" si="7"/>
        <v>0</v>
      </c>
      <c r="CT25" s="362">
        <f t="shared" si="7"/>
        <v>0</v>
      </c>
      <c r="CU25" s="362">
        <f t="shared" si="7"/>
        <v>0</v>
      </c>
      <c r="CV25" s="362">
        <f t="shared" si="7"/>
        <v>0</v>
      </c>
      <c r="CW25" s="362">
        <f t="shared" si="7"/>
        <v>0</v>
      </c>
      <c r="CX25" s="362">
        <f t="shared" si="7"/>
        <v>0</v>
      </c>
      <c r="CY25" s="362">
        <f t="shared" si="7"/>
        <v>0</v>
      </c>
      <c r="CZ25" s="362">
        <f t="shared" si="7"/>
        <v>0</v>
      </c>
      <c r="DA25" s="362">
        <f t="shared" si="7"/>
        <v>0</v>
      </c>
      <c r="DB25" s="362">
        <f t="shared" si="7"/>
        <v>0</v>
      </c>
      <c r="DC25" s="362">
        <f t="shared" si="7"/>
        <v>0</v>
      </c>
      <c r="DD25" s="362">
        <f t="shared" si="7"/>
        <v>0</v>
      </c>
      <c r="DE25" s="362">
        <f t="shared" si="7"/>
        <v>0</v>
      </c>
      <c r="DF25" s="362">
        <f t="shared" si="7"/>
        <v>0</v>
      </c>
      <c r="DG25" s="362">
        <f t="shared" si="7"/>
        <v>0</v>
      </c>
      <c r="DH25" s="362">
        <f t="shared" si="7"/>
        <v>0</v>
      </c>
      <c r="DI25" s="362">
        <f t="shared" si="7"/>
        <v>0</v>
      </c>
      <c r="DJ25" s="362">
        <f t="shared" si="7"/>
        <v>0</v>
      </c>
      <c r="DK25" s="362">
        <f t="shared" si="7"/>
        <v>0</v>
      </c>
      <c r="DL25" s="362">
        <f t="shared" si="7"/>
        <v>0</v>
      </c>
      <c r="DM25" s="362">
        <f t="shared" si="7"/>
        <v>0</v>
      </c>
      <c r="DN25" s="362">
        <f t="shared" si="7"/>
        <v>0</v>
      </c>
      <c r="DO25" s="362">
        <f t="shared" si="7"/>
        <v>0</v>
      </c>
      <c r="DP25" s="362">
        <f t="shared" si="7"/>
        <v>0</v>
      </c>
      <c r="DQ25" s="362">
        <f t="shared" si="7"/>
        <v>0</v>
      </c>
      <c r="DR25" s="362">
        <f t="shared" si="7"/>
        <v>0</v>
      </c>
      <c r="DS25" s="362">
        <f t="shared" si="7"/>
        <v>0</v>
      </c>
      <c r="DT25" s="362">
        <f t="shared" si="7"/>
        <v>0</v>
      </c>
      <c r="DU25" s="362">
        <f t="shared" si="7"/>
        <v>0</v>
      </c>
      <c r="DV25" s="362">
        <f t="shared" si="7"/>
        <v>0</v>
      </c>
      <c r="DW25" s="362">
        <f t="shared" si="7"/>
        <v>0</v>
      </c>
      <c r="DX25" s="362">
        <f t="shared" si="7"/>
        <v>0</v>
      </c>
      <c r="DY25" s="362">
        <f t="shared" si="7"/>
        <v>0</v>
      </c>
      <c r="DZ25" s="362">
        <f t="shared" si="7"/>
        <v>0</v>
      </c>
      <c r="EA25" s="362">
        <f t="shared" si="7"/>
        <v>0</v>
      </c>
      <c r="EB25" s="362">
        <f t="shared" si="7"/>
        <v>0</v>
      </c>
      <c r="EC25" s="362">
        <f t="shared" ref="EC25:GA25" si="8">IF(ISBLANK(EC22),0,(EC19*VLOOKUP(EC22,$B$35:$D$38,3,0)))</f>
        <v>0</v>
      </c>
      <c r="ED25" s="362">
        <f t="shared" si="8"/>
        <v>0</v>
      </c>
      <c r="EE25" s="362">
        <f t="shared" si="8"/>
        <v>0</v>
      </c>
      <c r="EF25" s="362">
        <f t="shared" si="8"/>
        <v>0</v>
      </c>
      <c r="EG25" s="362">
        <f t="shared" si="8"/>
        <v>0</v>
      </c>
      <c r="EH25" s="362">
        <f t="shared" si="8"/>
        <v>0</v>
      </c>
      <c r="EI25" s="362">
        <f t="shared" si="8"/>
        <v>0</v>
      </c>
      <c r="EJ25" s="362">
        <f t="shared" si="8"/>
        <v>0</v>
      </c>
      <c r="EK25" s="362">
        <f t="shared" si="8"/>
        <v>0</v>
      </c>
      <c r="EL25" s="362">
        <f t="shared" si="8"/>
        <v>0</v>
      </c>
      <c r="EM25" s="362">
        <f t="shared" si="8"/>
        <v>0</v>
      </c>
      <c r="EN25" s="362">
        <f t="shared" si="8"/>
        <v>0</v>
      </c>
      <c r="EO25" s="362">
        <f t="shared" si="8"/>
        <v>0</v>
      </c>
      <c r="EP25" s="362">
        <f t="shared" si="8"/>
        <v>0</v>
      </c>
      <c r="EQ25" s="362">
        <f t="shared" si="8"/>
        <v>0</v>
      </c>
      <c r="ER25" s="362">
        <f t="shared" si="8"/>
        <v>0</v>
      </c>
      <c r="ES25" s="362">
        <f t="shared" si="8"/>
        <v>0</v>
      </c>
      <c r="ET25" s="362">
        <f t="shared" si="8"/>
        <v>0</v>
      </c>
      <c r="EU25" s="362">
        <f t="shared" si="8"/>
        <v>0</v>
      </c>
      <c r="EV25" s="362">
        <f t="shared" si="8"/>
        <v>0</v>
      </c>
      <c r="EW25" s="362">
        <f t="shared" si="8"/>
        <v>0</v>
      </c>
      <c r="EX25" s="362">
        <f t="shared" si="8"/>
        <v>0</v>
      </c>
      <c r="EY25" s="362">
        <f t="shared" si="8"/>
        <v>0</v>
      </c>
      <c r="EZ25" s="362">
        <f t="shared" si="8"/>
        <v>0</v>
      </c>
      <c r="FA25" s="362">
        <f t="shared" si="8"/>
        <v>0</v>
      </c>
      <c r="FB25" s="362">
        <f t="shared" si="8"/>
        <v>0</v>
      </c>
      <c r="FC25" s="362">
        <f t="shared" si="8"/>
        <v>0</v>
      </c>
      <c r="FD25" s="362">
        <f t="shared" si="8"/>
        <v>0</v>
      </c>
      <c r="FE25" s="362">
        <f t="shared" si="8"/>
        <v>0</v>
      </c>
      <c r="FF25" s="362">
        <f t="shared" si="8"/>
        <v>0</v>
      </c>
      <c r="FG25" s="362">
        <f t="shared" si="8"/>
        <v>0</v>
      </c>
      <c r="FH25" s="362">
        <f t="shared" si="8"/>
        <v>0</v>
      </c>
      <c r="FI25" s="362">
        <f t="shared" si="8"/>
        <v>0</v>
      </c>
      <c r="FJ25" s="362">
        <f t="shared" si="8"/>
        <v>0</v>
      </c>
      <c r="FK25" s="362">
        <f t="shared" si="8"/>
        <v>0</v>
      </c>
      <c r="FL25" s="362">
        <f t="shared" si="8"/>
        <v>0</v>
      </c>
      <c r="FM25" s="362">
        <f t="shared" si="8"/>
        <v>0</v>
      </c>
      <c r="FN25" s="362">
        <f t="shared" si="8"/>
        <v>0</v>
      </c>
      <c r="FO25" s="362">
        <f t="shared" si="8"/>
        <v>0</v>
      </c>
      <c r="FP25" s="362">
        <f t="shared" si="8"/>
        <v>0</v>
      </c>
      <c r="FQ25" s="362">
        <f t="shared" si="8"/>
        <v>0</v>
      </c>
      <c r="FR25" s="362">
        <f t="shared" si="8"/>
        <v>0</v>
      </c>
      <c r="FS25" s="362">
        <f t="shared" si="8"/>
        <v>0</v>
      </c>
      <c r="FT25" s="362">
        <f t="shared" si="8"/>
        <v>0</v>
      </c>
      <c r="FU25" s="362">
        <f t="shared" si="8"/>
        <v>0</v>
      </c>
      <c r="FV25" s="362">
        <f t="shared" si="8"/>
        <v>0</v>
      </c>
      <c r="FW25" s="362">
        <f t="shared" si="8"/>
        <v>0</v>
      </c>
      <c r="FX25" s="362">
        <f t="shared" si="8"/>
        <v>0</v>
      </c>
      <c r="FY25" s="362">
        <f t="shared" si="8"/>
        <v>0</v>
      </c>
      <c r="FZ25" s="362">
        <f t="shared" si="8"/>
        <v>0</v>
      </c>
      <c r="GA25" s="362">
        <f t="shared" si="8"/>
        <v>0</v>
      </c>
      <c r="GB25" s="252"/>
    </row>
    <row r="26" spans="1:184" s="254" customFormat="1" ht="12.95" customHeight="1" x14ac:dyDescent="0.25">
      <c r="A26" s="228">
        <v>332</v>
      </c>
      <c r="B26" s="242"/>
      <c r="C26" s="237" t="s">
        <v>340</v>
      </c>
      <c r="D26" s="362">
        <f>IF(ISBLANK(D22),0,(D18*1000*VLOOKUP(D22,$B$35:$D$38,2,0)))</f>
        <v>25000</v>
      </c>
      <c r="E26" s="362">
        <f t="shared" ref="E26:BP26" si="9">IF(ISBLANK(E22),0,(E18*1000*VLOOKUP(E22,$B$35:$D$38,2,0)))</f>
        <v>4000</v>
      </c>
      <c r="F26" s="362">
        <f t="shared" si="9"/>
        <v>3000</v>
      </c>
      <c r="G26" s="362">
        <f t="shared" si="9"/>
        <v>2000</v>
      </c>
      <c r="H26" s="362">
        <f t="shared" si="9"/>
        <v>3000</v>
      </c>
      <c r="I26" s="362">
        <f t="shared" si="9"/>
        <v>150000</v>
      </c>
      <c r="J26" s="362">
        <f t="shared" si="9"/>
        <v>0</v>
      </c>
      <c r="K26" s="362">
        <f t="shared" si="9"/>
        <v>0</v>
      </c>
      <c r="L26" s="362">
        <f t="shared" si="9"/>
        <v>0</v>
      </c>
      <c r="M26" s="362">
        <f t="shared" si="9"/>
        <v>0</v>
      </c>
      <c r="N26" s="362">
        <f t="shared" si="9"/>
        <v>0</v>
      </c>
      <c r="O26" s="362">
        <f t="shared" si="9"/>
        <v>0</v>
      </c>
      <c r="P26" s="362">
        <f t="shared" si="9"/>
        <v>0</v>
      </c>
      <c r="Q26" s="362">
        <f t="shared" si="9"/>
        <v>0</v>
      </c>
      <c r="R26" s="362">
        <f t="shared" si="9"/>
        <v>0</v>
      </c>
      <c r="S26" s="362">
        <f t="shared" si="9"/>
        <v>0</v>
      </c>
      <c r="T26" s="362">
        <f t="shared" si="9"/>
        <v>0</v>
      </c>
      <c r="U26" s="362">
        <f t="shared" si="9"/>
        <v>0</v>
      </c>
      <c r="V26" s="362">
        <f t="shared" si="9"/>
        <v>0</v>
      </c>
      <c r="W26" s="362">
        <f t="shared" si="9"/>
        <v>0</v>
      </c>
      <c r="X26" s="362">
        <f t="shared" si="9"/>
        <v>0</v>
      </c>
      <c r="Y26" s="362">
        <f t="shared" si="9"/>
        <v>0</v>
      </c>
      <c r="Z26" s="362">
        <f t="shared" si="9"/>
        <v>0</v>
      </c>
      <c r="AA26" s="362">
        <f t="shared" si="9"/>
        <v>0</v>
      </c>
      <c r="AB26" s="362">
        <f t="shared" si="9"/>
        <v>0</v>
      </c>
      <c r="AC26" s="362">
        <f t="shared" si="9"/>
        <v>0</v>
      </c>
      <c r="AD26" s="362">
        <f t="shared" si="9"/>
        <v>0</v>
      </c>
      <c r="AE26" s="362">
        <f t="shared" si="9"/>
        <v>0</v>
      </c>
      <c r="AF26" s="362">
        <f t="shared" si="9"/>
        <v>0</v>
      </c>
      <c r="AG26" s="362">
        <f t="shared" si="9"/>
        <v>0</v>
      </c>
      <c r="AH26" s="362">
        <f t="shared" si="9"/>
        <v>0</v>
      </c>
      <c r="AI26" s="362">
        <f t="shared" si="9"/>
        <v>0</v>
      </c>
      <c r="AJ26" s="362">
        <f t="shared" si="9"/>
        <v>0</v>
      </c>
      <c r="AK26" s="362">
        <f t="shared" si="9"/>
        <v>0</v>
      </c>
      <c r="AL26" s="362">
        <f t="shared" si="9"/>
        <v>0</v>
      </c>
      <c r="AM26" s="362">
        <f t="shared" si="9"/>
        <v>0</v>
      </c>
      <c r="AN26" s="362">
        <f t="shared" si="9"/>
        <v>0</v>
      </c>
      <c r="AO26" s="362">
        <f t="shared" si="9"/>
        <v>0</v>
      </c>
      <c r="AP26" s="362">
        <f t="shared" si="9"/>
        <v>0</v>
      </c>
      <c r="AQ26" s="362">
        <f t="shared" si="9"/>
        <v>0</v>
      </c>
      <c r="AR26" s="362">
        <f t="shared" si="9"/>
        <v>0</v>
      </c>
      <c r="AS26" s="362">
        <f t="shared" si="9"/>
        <v>0</v>
      </c>
      <c r="AT26" s="362">
        <f t="shared" si="9"/>
        <v>0</v>
      </c>
      <c r="AU26" s="362">
        <f t="shared" si="9"/>
        <v>0</v>
      </c>
      <c r="AV26" s="362">
        <f t="shared" si="9"/>
        <v>0</v>
      </c>
      <c r="AW26" s="362">
        <f t="shared" si="9"/>
        <v>0</v>
      </c>
      <c r="AX26" s="362">
        <f t="shared" si="9"/>
        <v>0</v>
      </c>
      <c r="AY26" s="362">
        <f t="shared" si="9"/>
        <v>0</v>
      </c>
      <c r="AZ26" s="362">
        <f t="shared" si="9"/>
        <v>0</v>
      </c>
      <c r="BA26" s="362">
        <f t="shared" si="9"/>
        <v>0</v>
      </c>
      <c r="BB26" s="362">
        <f t="shared" si="9"/>
        <v>0</v>
      </c>
      <c r="BC26" s="362">
        <f t="shared" si="9"/>
        <v>0</v>
      </c>
      <c r="BD26" s="362">
        <f t="shared" si="9"/>
        <v>0</v>
      </c>
      <c r="BE26" s="362">
        <f t="shared" si="9"/>
        <v>0</v>
      </c>
      <c r="BF26" s="362">
        <f t="shared" si="9"/>
        <v>0</v>
      </c>
      <c r="BG26" s="362">
        <f t="shared" si="9"/>
        <v>0</v>
      </c>
      <c r="BH26" s="362">
        <f t="shared" si="9"/>
        <v>0</v>
      </c>
      <c r="BI26" s="362">
        <f t="shared" si="9"/>
        <v>0</v>
      </c>
      <c r="BJ26" s="362">
        <f t="shared" si="9"/>
        <v>0</v>
      </c>
      <c r="BK26" s="362">
        <f t="shared" si="9"/>
        <v>0</v>
      </c>
      <c r="BL26" s="362">
        <f t="shared" si="9"/>
        <v>0</v>
      </c>
      <c r="BM26" s="362">
        <f t="shared" si="9"/>
        <v>0</v>
      </c>
      <c r="BN26" s="362">
        <f t="shared" si="9"/>
        <v>0</v>
      </c>
      <c r="BO26" s="362">
        <f t="shared" si="9"/>
        <v>0</v>
      </c>
      <c r="BP26" s="362">
        <f t="shared" si="9"/>
        <v>0</v>
      </c>
      <c r="BQ26" s="362">
        <f t="shared" ref="BQ26:EB26" si="10">IF(ISBLANK(BQ22),0,(BQ18*1000*VLOOKUP(BQ22,$B$35:$D$38,2,0)))</f>
        <v>0</v>
      </c>
      <c r="BR26" s="362">
        <f t="shared" si="10"/>
        <v>0</v>
      </c>
      <c r="BS26" s="362">
        <f t="shared" si="10"/>
        <v>0</v>
      </c>
      <c r="BT26" s="362">
        <f t="shared" si="10"/>
        <v>0</v>
      </c>
      <c r="BU26" s="362">
        <f t="shared" si="10"/>
        <v>0</v>
      </c>
      <c r="BV26" s="362">
        <f t="shared" si="10"/>
        <v>0</v>
      </c>
      <c r="BW26" s="362">
        <f t="shared" si="10"/>
        <v>0</v>
      </c>
      <c r="BX26" s="362">
        <f t="shared" si="10"/>
        <v>0</v>
      </c>
      <c r="BY26" s="362">
        <f t="shared" si="10"/>
        <v>0</v>
      </c>
      <c r="BZ26" s="362">
        <f t="shared" si="10"/>
        <v>0</v>
      </c>
      <c r="CA26" s="362">
        <f t="shared" si="10"/>
        <v>0</v>
      </c>
      <c r="CB26" s="362">
        <f t="shared" si="10"/>
        <v>0</v>
      </c>
      <c r="CC26" s="362">
        <f t="shared" si="10"/>
        <v>0</v>
      </c>
      <c r="CD26" s="362">
        <f t="shared" si="10"/>
        <v>0</v>
      </c>
      <c r="CE26" s="362">
        <f t="shared" si="10"/>
        <v>0</v>
      </c>
      <c r="CF26" s="362">
        <f t="shared" si="10"/>
        <v>0</v>
      </c>
      <c r="CG26" s="362">
        <f t="shared" si="10"/>
        <v>0</v>
      </c>
      <c r="CH26" s="362">
        <f t="shared" si="10"/>
        <v>0</v>
      </c>
      <c r="CI26" s="362">
        <f t="shared" si="10"/>
        <v>0</v>
      </c>
      <c r="CJ26" s="362">
        <f t="shared" si="10"/>
        <v>0</v>
      </c>
      <c r="CK26" s="362">
        <f t="shared" si="10"/>
        <v>0</v>
      </c>
      <c r="CL26" s="362">
        <f t="shared" si="10"/>
        <v>0</v>
      </c>
      <c r="CM26" s="362">
        <f t="shared" si="10"/>
        <v>0</v>
      </c>
      <c r="CN26" s="362">
        <f t="shared" si="10"/>
        <v>0</v>
      </c>
      <c r="CO26" s="362">
        <f t="shared" si="10"/>
        <v>0</v>
      </c>
      <c r="CP26" s="362">
        <f t="shared" si="10"/>
        <v>0</v>
      </c>
      <c r="CQ26" s="362">
        <f t="shared" si="10"/>
        <v>0</v>
      </c>
      <c r="CR26" s="362">
        <f t="shared" si="10"/>
        <v>0</v>
      </c>
      <c r="CS26" s="362">
        <f t="shared" si="10"/>
        <v>0</v>
      </c>
      <c r="CT26" s="362">
        <f t="shared" si="10"/>
        <v>0</v>
      </c>
      <c r="CU26" s="362">
        <f t="shared" si="10"/>
        <v>0</v>
      </c>
      <c r="CV26" s="362">
        <f t="shared" si="10"/>
        <v>0</v>
      </c>
      <c r="CW26" s="362">
        <f t="shared" si="10"/>
        <v>0</v>
      </c>
      <c r="CX26" s="362">
        <f t="shared" si="10"/>
        <v>0</v>
      </c>
      <c r="CY26" s="362">
        <f t="shared" si="10"/>
        <v>0</v>
      </c>
      <c r="CZ26" s="362">
        <f t="shared" si="10"/>
        <v>0</v>
      </c>
      <c r="DA26" s="362">
        <f t="shared" si="10"/>
        <v>0</v>
      </c>
      <c r="DB26" s="362">
        <f t="shared" si="10"/>
        <v>0</v>
      </c>
      <c r="DC26" s="362">
        <f t="shared" si="10"/>
        <v>0</v>
      </c>
      <c r="DD26" s="362">
        <f t="shared" si="10"/>
        <v>0</v>
      </c>
      <c r="DE26" s="362">
        <f t="shared" si="10"/>
        <v>0</v>
      </c>
      <c r="DF26" s="362">
        <f t="shared" si="10"/>
        <v>0</v>
      </c>
      <c r="DG26" s="362">
        <f t="shared" si="10"/>
        <v>0</v>
      </c>
      <c r="DH26" s="362">
        <f t="shared" si="10"/>
        <v>0</v>
      </c>
      <c r="DI26" s="362">
        <f t="shared" si="10"/>
        <v>0</v>
      </c>
      <c r="DJ26" s="362">
        <f t="shared" si="10"/>
        <v>0</v>
      </c>
      <c r="DK26" s="362">
        <f t="shared" si="10"/>
        <v>0</v>
      </c>
      <c r="DL26" s="362">
        <f t="shared" si="10"/>
        <v>0</v>
      </c>
      <c r="DM26" s="362">
        <f t="shared" si="10"/>
        <v>0</v>
      </c>
      <c r="DN26" s="362">
        <f t="shared" si="10"/>
        <v>0</v>
      </c>
      <c r="DO26" s="362">
        <f t="shared" si="10"/>
        <v>0</v>
      </c>
      <c r="DP26" s="362">
        <f t="shared" si="10"/>
        <v>0</v>
      </c>
      <c r="DQ26" s="362">
        <f t="shared" si="10"/>
        <v>0</v>
      </c>
      <c r="DR26" s="362">
        <f t="shared" si="10"/>
        <v>0</v>
      </c>
      <c r="DS26" s="362">
        <f t="shared" si="10"/>
        <v>0</v>
      </c>
      <c r="DT26" s="362">
        <f t="shared" si="10"/>
        <v>0</v>
      </c>
      <c r="DU26" s="362">
        <f t="shared" si="10"/>
        <v>0</v>
      </c>
      <c r="DV26" s="362">
        <f t="shared" si="10"/>
        <v>0</v>
      </c>
      <c r="DW26" s="362">
        <f t="shared" si="10"/>
        <v>0</v>
      </c>
      <c r="DX26" s="362">
        <f t="shared" si="10"/>
        <v>0</v>
      </c>
      <c r="DY26" s="362">
        <f t="shared" si="10"/>
        <v>0</v>
      </c>
      <c r="DZ26" s="362">
        <f t="shared" si="10"/>
        <v>0</v>
      </c>
      <c r="EA26" s="362">
        <f t="shared" si="10"/>
        <v>0</v>
      </c>
      <c r="EB26" s="362">
        <f t="shared" si="10"/>
        <v>0</v>
      </c>
      <c r="EC26" s="362">
        <f t="shared" ref="EC26:GA26" si="11">IF(ISBLANK(EC22),0,(EC18*1000*VLOOKUP(EC22,$B$35:$D$38,2,0)))</f>
        <v>0</v>
      </c>
      <c r="ED26" s="362">
        <f t="shared" si="11"/>
        <v>0</v>
      </c>
      <c r="EE26" s="362">
        <f t="shared" si="11"/>
        <v>0</v>
      </c>
      <c r="EF26" s="362">
        <f t="shared" si="11"/>
        <v>0</v>
      </c>
      <c r="EG26" s="362">
        <f t="shared" si="11"/>
        <v>0</v>
      </c>
      <c r="EH26" s="362">
        <f t="shared" si="11"/>
        <v>0</v>
      </c>
      <c r="EI26" s="362">
        <f t="shared" si="11"/>
        <v>0</v>
      </c>
      <c r="EJ26" s="362">
        <f t="shared" si="11"/>
        <v>0</v>
      </c>
      <c r="EK26" s="362">
        <f t="shared" si="11"/>
        <v>0</v>
      </c>
      <c r="EL26" s="362">
        <f t="shared" si="11"/>
        <v>0</v>
      </c>
      <c r="EM26" s="362">
        <f t="shared" si="11"/>
        <v>0</v>
      </c>
      <c r="EN26" s="362">
        <f t="shared" si="11"/>
        <v>0</v>
      </c>
      <c r="EO26" s="362">
        <f t="shared" si="11"/>
        <v>0</v>
      </c>
      <c r="EP26" s="362">
        <f t="shared" si="11"/>
        <v>0</v>
      </c>
      <c r="EQ26" s="362">
        <f t="shared" si="11"/>
        <v>0</v>
      </c>
      <c r="ER26" s="362">
        <f t="shared" si="11"/>
        <v>0</v>
      </c>
      <c r="ES26" s="362">
        <f t="shared" si="11"/>
        <v>0</v>
      </c>
      <c r="ET26" s="362">
        <f t="shared" si="11"/>
        <v>0</v>
      </c>
      <c r="EU26" s="362">
        <f t="shared" si="11"/>
        <v>0</v>
      </c>
      <c r="EV26" s="362">
        <f t="shared" si="11"/>
        <v>0</v>
      </c>
      <c r="EW26" s="362">
        <f t="shared" si="11"/>
        <v>0</v>
      </c>
      <c r="EX26" s="362">
        <f t="shared" si="11"/>
        <v>0</v>
      </c>
      <c r="EY26" s="362">
        <f t="shared" si="11"/>
        <v>0</v>
      </c>
      <c r="EZ26" s="362">
        <f t="shared" si="11"/>
        <v>0</v>
      </c>
      <c r="FA26" s="362">
        <f t="shared" si="11"/>
        <v>0</v>
      </c>
      <c r="FB26" s="362">
        <f t="shared" si="11"/>
        <v>0</v>
      </c>
      <c r="FC26" s="362">
        <f t="shared" si="11"/>
        <v>0</v>
      </c>
      <c r="FD26" s="362">
        <f t="shared" si="11"/>
        <v>0</v>
      </c>
      <c r="FE26" s="362">
        <f t="shared" si="11"/>
        <v>0</v>
      </c>
      <c r="FF26" s="362">
        <f t="shared" si="11"/>
        <v>0</v>
      </c>
      <c r="FG26" s="362">
        <f t="shared" si="11"/>
        <v>0</v>
      </c>
      <c r="FH26" s="362">
        <f t="shared" si="11"/>
        <v>0</v>
      </c>
      <c r="FI26" s="362">
        <f t="shared" si="11"/>
        <v>0</v>
      </c>
      <c r="FJ26" s="362">
        <f t="shared" si="11"/>
        <v>0</v>
      </c>
      <c r="FK26" s="362">
        <f t="shared" si="11"/>
        <v>0</v>
      </c>
      <c r="FL26" s="362">
        <f t="shared" si="11"/>
        <v>0</v>
      </c>
      <c r="FM26" s="362">
        <f t="shared" si="11"/>
        <v>0</v>
      </c>
      <c r="FN26" s="362">
        <f t="shared" si="11"/>
        <v>0</v>
      </c>
      <c r="FO26" s="362">
        <f t="shared" si="11"/>
        <v>0</v>
      </c>
      <c r="FP26" s="362">
        <f t="shared" si="11"/>
        <v>0</v>
      </c>
      <c r="FQ26" s="362">
        <f t="shared" si="11"/>
        <v>0</v>
      </c>
      <c r="FR26" s="362">
        <f t="shared" si="11"/>
        <v>0</v>
      </c>
      <c r="FS26" s="362">
        <f t="shared" si="11"/>
        <v>0</v>
      </c>
      <c r="FT26" s="362">
        <f t="shared" si="11"/>
        <v>0</v>
      </c>
      <c r="FU26" s="362">
        <f t="shared" si="11"/>
        <v>0</v>
      </c>
      <c r="FV26" s="362">
        <f t="shared" si="11"/>
        <v>0</v>
      </c>
      <c r="FW26" s="362">
        <f t="shared" si="11"/>
        <v>0</v>
      </c>
      <c r="FX26" s="362">
        <f t="shared" si="11"/>
        <v>0</v>
      </c>
      <c r="FY26" s="362">
        <f t="shared" si="11"/>
        <v>0</v>
      </c>
      <c r="FZ26" s="362">
        <f t="shared" si="11"/>
        <v>0</v>
      </c>
      <c r="GA26" s="362">
        <f t="shared" si="11"/>
        <v>0</v>
      </c>
    </row>
    <row r="27" spans="1:184" s="256" customFormat="1" ht="12.95" customHeight="1" x14ac:dyDescent="0.25">
      <c r="A27" s="228">
        <v>333</v>
      </c>
      <c r="B27" s="242"/>
      <c r="C27" s="237" t="s">
        <v>341</v>
      </c>
      <c r="D27" s="255">
        <f>IF(ISBLANK(D22),0,SUM(D25:D26))</f>
        <v>37750</v>
      </c>
      <c r="E27" s="255">
        <f t="shared" ref="E27:BP27" si="12">IF(ISBLANK(E22),0,SUM(E25:E26))</f>
        <v>6750</v>
      </c>
      <c r="F27" s="255">
        <f t="shared" si="12"/>
        <v>5200</v>
      </c>
      <c r="G27" s="255">
        <f t="shared" si="12"/>
        <v>3650</v>
      </c>
      <c r="H27" s="255">
        <f t="shared" si="12"/>
        <v>4700</v>
      </c>
      <c r="I27" s="255">
        <f t="shared" si="12"/>
        <v>225000</v>
      </c>
      <c r="J27" s="255">
        <f t="shared" si="12"/>
        <v>0</v>
      </c>
      <c r="K27" s="255">
        <f t="shared" si="12"/>
        <v>0</v>
      </c>
      <c r="L27" s="255">
        <f t="shared" si="12"/>
        <v>0</v>
      </c>
      <c r="M27" s="255">
        <f t="shared" si="12"/>
        <v>0</v>
      </c>
      <c r="N27" s="255">
        <f t="shared" si="12"/>
        <v>0</v>
      </c>
      <c r="O27" s="255">
        <f t="shared" si="12"/>
        <v>0</v>
      </c>
      <c r="P27" s="255">
        <f t="shared" si="12"/>
        <v>0</v>
      </c>
      <c r="Q27" s="255">
        <f t="shared" si="12"/>
        <v>0</v>
      </c>
      <c r="R27" s="255">
        <f t="shared" si="12"/>
        <v>0</v>
      </c>
      <c r="S27" s="255">
        <f t="shared" si="12"/>
        <v>0</v>
      </c>
      <c r="T27" s="255">
        <f t="shared" si="12"/>
        <v>0</v>
      </c>
      <c r="U27" s="255">
        <f t="shared" si="12"/>
        <v>0</v>
      </c>
      <c r="V27" s="255">
        <f t="shared" si="12"/>
        <v>0</v>
      </c>
      <c r="W27" s="255">
        <f t="shared" si="12"/>
        <v>0</v>
      </c>
      <c r="X27" s="255">
        <f t="shared" si="12"/>
        <v>0</v>
      </c>
      <c r="Y27" s="255">
        <f t="shared" si="12"/>
        <v>0</v>
      </c>
      <c r="Z27" s="255">
        <f t="shared" si="12"/>
        <v>0</v>
      </c>
      <c r="AA27" s="255">
        <f t="shared" si="12"/>
        <v>0</v>
      </c>
      <c r="AB27" s="255">
        <f t="shared" si="12"/>
        <v>0</v>
      </c>
      <c r="AC27" s="255">
        <f t="shared" si="12"/>
        <v>0</v>
      </c>
      <c r="AD27" s="255">
        <f t="shared" si="12"/>
        <v>0</v>
      </c>
      <c r="AE27" s="255">
        <f t="shared" si="12"/>
        <v>0</v>
      </c>
      <c r="AF27" s="255">
        <f t="shared" si="12"/>
        <v>0</v>
      </c>
      <c r="AG27" s="255">
        <f t="shared" si="12"/>
        <v>0</v>
      </c>
      <c r="AH27" s="255">
        <f t="shared" si="12"/>
        <v>0</v>
      </c>
      <c r="AI27" s="255">
        <f t="shared" si="12"/>
        <v>0</v>
      </c>
      <c r="AJ27" s="255">
        <f t="shared" si="12"/>
        <v>0</v>
      </c>
      <c r="AK27" s="255">
        <f t="shared" si="12"/>
        <v>0</v>
      </c>
      <c r="AL27" s="255">
        <f t="shared" si="12"/>
        <v>0</v>
      </c>
      <c r="AM27" s="255">
        <f t="shared" si="12"/>
        <v>0</v>
      </c>
      <c r="AN27" s="255">
        <f t="shared" si="12"/>
        <v>0</v>
      </c>
      <c r="AO27" s="255">
        <f t="shared" si="12"/>
        <v>0</v>
      </c>
      <c r="AP27" s="255">
        <f t="shared" si="12"/>
        <v>0</v>
      </c>
      <c r="AQ27" s="255">
        <f t="shared" si="12"/>
        <v>0</v>
      </c>
      <c r="AR27" s="255">
        <f t="shared" si="12"/>
        <v>0</v>
      </c>
      <c r="AS27" s="255">
        <f t="shared" si="12"/>
        <v>0</v>
      </c>
      <c r="AT27" s="255">
        <f t="shared" si="12"/>
        <v>0</v>
      </c>
      <c r="AU27" s="255">
        <f t="shared" si="12"/>
        <v>0</v>
      </c>
      <c r="AV27" s="255">
        <f t="shared" si="12"/>
        <v>0</v>
      </c>
      <c r="AW27" s="255">
        <f t="shared" si="12"/>
        <v>0</v>
      </c>
      <c r="AX27" s="255">
        <f t="shared" si="12"/>
        <v>0</v>
      </c>
      <c r="AY27" s="255">
        <f t="shared" si="12"/>
        <v>0</v>
      </c>
      <c r="AZ27" s="255">
        <f t="shared" si="12"/>
        <v>0</v>
      </c>
      <c r="BA27" s="255">
        <f t="shared" si="12"/>
        <v>0</v>
      </c>
      <c r="BB27" s="255">
        <f t="shared" si="12"/>
        <v>0</v>
      </c>
      <c r="BC27" s="255">
        <f t="shared" si="12"/>
        <v>0</v>
      </c>
      <c r="BD27" s="255">
        <f t="shared" si="12"/>
        <v>0</v>
      </c>
      <c r="BE27" s="255">
        <f t="shared" si="12"/>
        <v>0</v>
      </c>
      <c r="BF27" s="255">
        <f t="shared" si="12"/>
        <v>0</v>
      </c>
      <c r="BG27" s="255">
        <f t="shared" si="12"/>
        <v>0</v>
      </c>
      <c r="BH27" s="255">
        <f t="shared" si="12"/>
        <v>0</v>
      </c>
      <c r="BI27" s="255">
        <f t="shared" si="12"/>
        <v>0</v>
      </c>
      <c r="BJ27" s="255">
        <f t="shared" si="12"/>
        <v>0</v>
      </c>
      <c r="BK27" s="255">
        <f t="shared" si="12"/>
        <v>0</v>
      </c>
      <c r="BL27" s="255">
        <f t="shared" si="12"/>
        <v>0</v>
      </c>
      <c r="BM27" s="255">
        <f t="shared" si="12"/>
        <v>0</v>
      </c>
      <c r="BN27" s="255">
        <f t="shared" si="12"/>
        <v>0</v>
      </c>
      <c r="BO27" s="255">
        <f t="shared" si="12"/>
        <v>0</v>
      </c>
      <c r="BP27" s="255">
        <f t="shared" si="12"/>
        <v>0</v>
      </c>
      <c r="BQ27" s="255">
        <f t="shared" ref="BQ27:EB27" si="13">IF(ISBLANK(BQ22),0,SUM(BQ25:BQ26))</f>
        <v>0</v>
      </c>
      <c r="BR27" s="255">
        <f t="shared" si="13"/>
        <v>0</v>
      </c>
      <c r="BS27" s="255">
        <f t="shared" si="13"/>
        <v>0</v>
      </c>
      <c r="BT27" s="255">
        <f t="shared" si="13"/>
        <v>0</v>
      </c>
      <c r="BU27" s="255">
        <f t="shared" si="13"/>
        <v>0</v>
      </c>
      <c r="BV27" s="255">
        <f t="shared" si="13"/>
        <v>0</v>
      </c>
      <c r="BW27" s="255">
        <f t="shared" si="13"/>
        <v>0</v>
      </c>
      <c r="BX27" s="255">
        <f t="shared" si="13"/>
        <v>0</v>
      </c>
      <c r="BY27" s="255">
        <f t="shared" si="13"/>
        <v>0</v>
      </c>
      <c r="BZ27" s="255">
        <f t="shared" si="13"/>
        <v>0</v>
      </c>
      <c r="CA27" s="255">
        <f t="shared" si="13"/>
        <v>0</v>
      </c>
      <c r="CB27" s="255">
        <f t="shared" si="13"/>
        <v>0</v>
      </c>
      <c r="CC27" s="255">
        <f t="shared" si="13"/>
        <v>0</v>
      </c>
      <c r="CD27" s="255">
        <f t="shared" si="13"/>
        <v>0</v>
      </c>
      <c r="CE27" s="255">
        <f t="shared" si="13"/>
        <v>0</v>
      </c>
      <c r="CF27" s="255">
        <f t="shared" si="13"/>
        <v>0</v>
      </c>
      <c r="CG27" s="255">
        <f t="shared" si="13"/>
        <v>0</v>
      </c>
      <c r="CH27" s="255">
        <f t="shared" si="13"/>
        <v>0</v>
      </c>
      <c r="CI27" s="255">
        <f t="shared" si="13"/>
        <v>0</v>
      </c>
      <c r="CJ27" s="255">
        <f t="shared" si="13"/>
        <v>0</v>
      </c>
      <c r="CK27" s="255">
        <f t="shared" si="13"/>
        <v>0</v>
      </c>
      <c r="CL27" s="255">
        <f t="shared" si="13"/>
        <v>0</v>
      </c>
      <c r="CM27" s="255">
        <f t="shared" si="13"/>
        <v>0</v>
      </c>
      <c r="CN27" s="255">
        <f t="shared" si="13"/>
        <v>0</v>
      </c>
      <c r="CO27" s="255">
        <f t="shared" si="13"/>
        <v>0</v>
      </c>
      <c r="CP27" s="255">
        <f t="shared" si="13"/>
        <v>0</v>
      </c>
      <c r="CQ27" s="255">
        <f t="shared" si="13"/>
        <v>0</v>
      </c>
      <c r="CR27" s="255">
        <f t="shared" si="13"/>
        <v>0</v>
      </c>
      <c r="CS27" s="255">
        <f t="shared" si="13"/>
        <v>0</v>
      </c>
      <c r="CT27" s="255">
        <f t="shared" si="13"/>
        <v>0</v>
      </c>
      <c r="CU27" s="255">
        <f t="shared" si="13"/>
        <v>0</v>
      </c>
      <c r="CV27" s="255">
        <f t="shared" si="13"/>
        <v>0</v>
      </c>
      <c r="CW27" s="255">
        <f t="shared" si="13"/>
        <v>0</v>
      </c>
      <c r="CX27" s="255">
        <f t="shared" si="13"/>
        <v>0</v>
      </c>
      <c r="CY27" s="255">
        <f t="shared" si="13"/>
        <v>0</v>
      </c>
      <c r="CZ27" s="255">
        <f t="shared" si="13"/>
        <v>0</v>
      </c>
      <c r="DA27" s="255">
        <f t="shared" si="13"/>
        <v>0</v>
      </c>
      <c r="DB27" s="255">
        <f t="shared" si="13"/>
        <v>0</v>
      </c>
      <c r="DC27" s="255">
        <f t="shared" si="13"/>
        <v>0</v>
      </c>
      <c r="DD27" s="255">
        <f t="shared" si="13"/>
        <v>0</v>
      </c>
      <c r="DE27" s="255">
        <f t="shared" si="13"/>
        <v>0</v>
      </c>
      <c r="DF27" s="255">
        <f t="shared" si="13"/>
        <v>0</v>
      </c>
      <c r="DG27" s="255">
        <f t="shared" si="13"/>
        <v>0</v>
      </c>
      <c r="DH27" s="255">
        <f t="shared" si="13"/>
        <v>0</v>
      </c>
      <c r="DI27" s="255">
        <f t="shared" si="13"/>
        <v>0</v>
      </c>
      <c r="DJ27" s="255">
        <f t="shared" si="13"/>
        <v>0</v>
      </c>
      <c r="DK27" s="255">
        <f t="shared" si="13"/>
        <v>0</v>
      </c>
      <c r="DL27" s="255">
        <f t="shared" si="13"/>
        <v>0</v>
      </c>
      <c r="DM27" s="255">
        <f t="shared" si="13"/>
        <v>0</v>
      </c>
      <c r="DN27" s="255">
        <f t="shared" si="13"/>
        <v>0</v>
      </c>
      <c r="DO27" s="255">
        <f t="shared" si="13"/>
        <v>0</v>
      </c>
      <c r="DP27" s="255">
        <f t="shared" si="13"/>
        <v>0</v>
      </c>
      <c r="DQ27" s="255">
        <f t="shared" si="13"/>
        <v>0</v>
      </c>
      <c r="DR27" s="255">
        <f t="shared" si="13"/>
        <v>0</v>
      </c>
      <c r="DS27" s="255">
        <f t="shared" si="13"/>
        <v>0</v>
      </c>
      <c r="DT27" s="255">
        <f t="shared" si="13"/>
        <v>0</v>
      </c>
      <c r="DU27" s="255">
        <f t="shared" si="13"/>
        <v>0</v>
      </c>
      <c r="DV27" s="255">
        <f t="shared" si="13"/>
        <v>0</v>
      </c>
      <c r="DW27" s="255">
        <f t="shared" si="13"/>
        <v>0</v>
      </c>
      <c r="DX27" s="255">
        <f t="shared" si="13"/>
        <v>0</v>
      </c>
      <c r="DY27" s="255">
        <f t="shared" si="13"/>
        <v>0</v>
      </c>
      <c r="DZ27" s="255">
        <f t="shared" si="13"/>
        <v>0</v>
      </c>
      <c r="EA27" s="255">
        <f t="shared" si="13"/>
        <v>0</v>
      </c>
      <c r="EB27" s="255">
        <f t="shared" si="13"/>
        <v>0</v>
      </c>
      <c r="EC27" s="255">
        <f t="shared" ref="EC27:GA27" si="14">IF(ISBLANK(EC22),0,SUM(EC25:EC26))</f>
        <v>0</v>
      </c>
      <c r="ED27" s="255">
        <f t="shared" si="14"/>
        <v>0</v>
      </c>
      <c r="EE27" s="255">
        <f t="shared" si="14"/>
        <v>0</v>
      </c>
      <c r="EF27" s="255">
        <f t="shared" si="14"/>
        <v>0</v>
      </c>
      <c r="EG27" s="255">
        <f t="shared" si="14"/>
        <v>0</v>
      </c>
      <c r="EH27" s="255">
        <f t="shared" si="14"/>
        <v>0</v>
      </c>
      <c r="EI27" s="255">
        <f t="shared" si="14"/>
        <v>0</v>
      </c>
      <c r="EJ27" s="255">
        <f t="shared" si="14"/>
        <v>0</v>
      </c>
      <c r="EK27" s="255">
        <f t="shared" si="14"/>
        <v>0</v>
      </c>
      <c r="EL27" s="255">
        <f t="shared" si="14"/>
        <v>0</v>
      </c>
      <c r="EM27" s="255">
        <f t="shared" si="14"/>
        <v>0</v>
      </c>
      <c r="EN27" s="255">
        <f t="shared" si="14"/>
        <v>0</v>
      </c>
      <c r="EO27" s="255">
        <f t="shared" si="14"/>
        <v>0</v>
      </c>
      <c r="EP27" s="255">
        <f t="shared" si="14"/>
        <v>0</v>
      </c>
      <c r="EQ27" s="255">
        <f t="shared" si="14"/>
        <v>0</v>
      </c>
      <c r="ER27" s="255">
        <f t="shared" si="14"/>
        <v>0</v>
      </c>
      <c r="ES27" s="255">
        <f t="shared" si="14"/>
        <v>0</v>
      </c>
      <c r="ET27" s="255">
        <f t="shared" si="14"/>
        <v>0</v>
      </c>
      <c r="EU27" s="255">
        <f t="shared" si="14"/>
        <v>0</v>
      </c>
      <c r="EV27" s="255">
        <f t="shared" si="14"/>
        <v>0</v>
      </c>
      <c r="EW27" s="255">
        <f t="shared" si="14"/>
        <v>0</v>
      </c>
      <c r="EX27" s="255">
        <f t="shared" si="14"/>
        <v>0</v>
      </c>
      <c r="EY27" s="255">
        <f t="shared" si="14"/>
        <v>0</v>
      </c>
      <c r="EZ27" s="255">
        <f t="shared" si="14"/>
        <v>0</v>
      </c>
      <c r="FA27" s="255">
        <f t="shared" si="14"/>
        <v>0</v>
      </c>
      <c r="FB27" s="255">
        <f t="shared" si="14"/>
        <v>0</v>
      </c>
      <c r="FC27" s="255">
        <f t="shared" si="14"/>
        <v>0</v>
      </c>
      <c r="FD27" s="255">
        <f t="shared" si="14"/>
        <v>0</v>
      </c>
      <c r="FE27" s="255">
        <f t="shared" si="14"/>
        <v>0</v>
      </c>
      <c r="FF27" s="255">
        <f t="shared" si="14"/>
        <v>0</v>
      </c>
      <c r="FG27" s="255">
        <f t="shared" si="14"/>
        <v>0</v>
      </c>
      <c r="FH27" s="255">
        <f t="shared" si="14"/>
        <v>0</v>
      </c>
      <c r="FI27" s="255">
        <f t="shared" si="14"/>
        <v>0</v>
      </c>
      <c r="FJ27" s="255">
        <f t="shared" si="14"/>
        <v>0</v>
      </c>
      <c r="FK27" s="255">
        <f t="shared" si="14"/>
        <v>0</v>
      </c>
      <c r="FL27" s="255">
        <f t="shared" si="14"/>
        <v>0</v>
      </c>
      <c r="FM27" s="255">
        <f t="shared" si="14"/>
        <v>0</v>
      </c>
      <c r="FN27" s="255">
        <f t="shared" si="14"/>
        <v>0</v>
      </c>
      <c r="FO27" s="255">
        <f t="shared" si="14"/>
        <v>0</v>
      </c>
      <c r="FP27" s="255">
        <f t="shared" si="14"/>
        <v>0</v>
      </c>
      <c r="FQ27" s="255">
        <f t="shared" si="14"/>
        <v>0</v>
      </c>
      <c r="FR27" s="255">
        <f t="shared" si="14"/>
        <v>0</v>
      </c>
      <c r="FS27" s="255">
        <f t="shared" si="14"/>
        <v>0</v>
      </c>
      <c r="FT27" s="255">
        <f t="shared" si="14"/>
        <v>0</v>
      </c>
      <c r="FU27" s="255">
        <f t="shared" si="14"/>
        <v>0</v>
      </c>
      <c r="FV27" s="255">
        <f t="shared" si="14"/>
        <v>0</v>
      </c>
      <c r="FW27" s="255">
        <f t="shared" si="14"/>
        <v>0</v>
      </c>
      <c r="FX27" s="255">
        <f t="shared" si="14"/>
        <v>0</v>
      </c>
      <c r="FY27" s="255">
        <f t="shared" si="14"/>
        <v>0</v>
      </c>
      <c r="FZ27" s="255">
        <f t="shared" si="14"/>
        <v>0</v>
      </c>
      <c r="GA27" s="255">
        <f t="shared" si="14"/>
        <v>0</v>
      </c>
      <c r="GB27" s="254"/>
    </row>
    <row r="28" spans="1:184" s="260" customFormat="1" ht="12.95" customHeight="1" x14ac:dyDescent="0.25">
      <c r="A28" s="228">
        <v>334</v>
      </c>
      <c r="B28" s="257"/>
      <c r="C28" s="258" t="s">
        <v>342</v>
      </c>
      <c r="D28" s="259">
        <f>IF(ISBLANK(D23),0,SUM(D24:D26))</f>
        <v>41750</v>
      </c>
      <c r="E28" s="259">
        <f t="shared" ref="E28:BP28" si="15">IF(ISBLANK(E23),0,SUM(E24:E26))</f>
        <v>8416.6666666666679</v>
      </c>
      <c r="F28" s="259">
        <f t="shared" si="15"/>
        <v>5200</v>
      </c>
      <c r="G28" s="259">
        <f t="shared" si="15"/>
        <v>3650</v>
      </c>
      <c r="H28" s="259">
        <f t="shared" si="15"/>
        <v>5700</v>
      </c>
      <c r="I28" s="259">
        <f t="shared" si="15"/>
        <v>275000</v>
      </c>
      <c r="J28" s="259">
        <f t="shared" si="15"/>
        <v>0</v>
      </c>
      <c r="K28" s="259">
        <f t="shared" si="15"/>
        <v>0</v>
      </c>
      <c r="L28" s="259">
        <f t="shared" si="15"/>
        <v>0</v>
      </c>
      <c r="M28" s="259">
        <f t="shared" si="15"/>
        <v>0</v>
      </c>
      <c r="N28" s="259">
        <f t="shared" si="15"/>
        <v>0</v>
      </c>
      <c r="O28" s="259">
        <f t="shared" si="15"/>
        <v>0</v>
      </c>
      <c r="P28" s="259">
        <f t="shared" si="15"/>
        <v>0</v>
      </c>
      <c r="Q28" s="259">
        <f t="shared" si="15"/>
        <v>0</v>
      </c>
      <c r="R28" s="259">
        <f t="shared" si="15"/>
        <v>0</v>
      </c>
      <c r="S28" s="259">
        <f t="shared" si="15"/>
        <v>0</v>
      </c>
      <c r="T28" s="259">
        <f t="shared" si="15"/>
        <v>0</v>
      </c>
      <c r="U28" s="259">
        <f t="shared" si="15"/>
        <v>0</v>
      </c>
      <c r="V28" s="259">
        <f t="shared" si="15"/>
        <v>0</v>
      </c>
      <c r="W28" s="259">
        <f t="shared" si="15"/>
        <v>0</v>
      </c>
      <c r="X28" s="259">
        <f t="shared" si="15"/>
        <v>0</v>
      </c>
      <c r="Y28" s="259">
        <f t="shared" si="15"/>
        <v>0</v>
      </c>
      <c r="Z28" s="259">
        <f t="shared" si="15"/>
        <v>0</v>
      </c>
      <c r="AA28" s="259">
        <f t="shared" si="15"/>
        <v>0</v>
      </c>
      <c r="AB28" s="259">
        <f t="shared" si="15"/>
        <v>0</v>
      </c>
      <c r="AC28" s="259">
        <f t="shared" si="15"/>
        <v>0</v>
      </c>
      <c r="AD28" s="259">
        <f t="shared" si="15"/>
        <v>0</v>
      </c>
      <c r="AE28" s="259">
        <f t="shared" si="15"/>
        <v>0</v>
      </c>
      <c r="AF28" s="259">
        <f t="shared" si="15"/>
        <v>0</v>
      </c>
      <c r="AG28" s="259">
        <f t="shared" si="15"/>
        <v>0</v>
      </c>
      <c r="AH28" s="259">
        <f t="shared" si="15"/>
        <v>0</v>
      </c>
      <c r="AI28" s="259">
        <f t="shared" si="15"/>
        <v>0</v>
      </c>
      <c r="AJ28" s="259">
        <f t="shared" si="15"/>
        <v>0</v>
      </c>
      <c r="AK28" s="259">
        <f t="shared" si="15"/>
        <v>0</v>
      </c>
      <c r="AL28" s="259">
        <f t="shared" si="15"/>
        <v>0</v>
      </c>
      <c r="AM28" s="259">
        <f t="shared" si="15"/>
        <v>0</v>
      </c>
      <c r="AN28" s="259">
        <f t="shared" si="15"/>
        <v>0</v>
      </c>
      <c r="AO28" s="259">
        <f t="shared" si="15"/>
        <v>0</v>
      </c>
      <c r="AP28" s="259">
        <f t="shared" si="15"/>
        <v>0</v>
      </c>
      <c r="AQ28" s="259">
        <f t="shared" si="15"/>
        <v>0</v>
      </c>
      <c r="AR28" s="259">
        <f t="shared" si="15"/>
        <v>0</v>
      </c>
      <c r="AS28" s="259">
        <f t="shared" si="15"/>
        <v>0</v>
      </c>
      <c r="AT28" s="259">
        <f t="shared" si="15"/>
        <v>0</v>
      </c>
      <c r="AU28" s="259">
        <f t="shared" si="15"/>
        <v>0</v>
      </c>
      <c r="AV28" s="259">
        <f t="shared" si="15"/>
        <v>0</v>
      </c>
      <c r="AW28" s="259">
        <f t="shared" si="15"/>
        <v>0</v>
      </c>
      <c r="AX28" s="259">
        <f t="shared" si="15"/>
        <v>0</v>
      </c>
      <c r="AY28" s="259">
        <f t="shared" si="15"/>
        <v>0</v>
      </c>
      <c r="AZ28" s="259">
        <f t="shared" si="15"/>
        <v>0</v>
      </c>
      <c r="BA28" s="259">
        <f t="shared" si="15"/>
        <v>0</v>
      </c>
      <c r="BB28" s="259">
        <f t="shared" si="15"/>
        <v>0</v>
      </c>
      <c r="BC28" s="259">
        <f t="shared" si="15"/>
        <v>0</v>
      </c>
      <c r="BD28" s="259">
        <f t="shared" si="15"/>
        <v>0</v>
      </c>
      <c r="BE28" s="259">
        <f t="shared" si="15"/>
        <v>0</v>
      </c>
      <c r="BF28" s="259">
        <f t="shared" si="15"/>
        <v>0</v>
      </c>
      <c r="BG28" s="259">
        <f t="shared" si="15"/>
        <v>0</v>
      </c>
      <c r="BH28" s="259">
        <f t="shared" si="15"/>
        <v>0</v>
      </c>
      <c r="BI28" s="259">
        <f t="shared" si="15"/>
        <v>0</v>
      </c>
      <c r="BJ28" s="259">
        <f t="shared" si="15"/>
        <v>0</v>
      </c>
      <c r="BK28" s="259">
        <f t="shared" si="15"/>
        <v>0</v>
      </c>
      <c r="BL28" s="259">
        <f t="shared" si="15"/>
        <v>0</v>
      </c>
      <c r="BM28" s="259">
        <f t="shared" si="15"/>
        <v>0</v>
      </c>
      <c r="BN28" s="259">
        <f t="shared" si="15"/>
        <v>0</v>
      </c>
      <c r="BO28" s="259">
        <f t="shared" si="15"/>
        <v>0</v>
      </c>
      <c r="BP28" s="259">
        <f t="shared" si="15"/>
        <v>0</v>
      </c>
      <c r="BQ28" s="259">
        <f t="shared" ref="BQ28:EB28" si="16">IF(ISBLANK(BQ23),0,SUM(BQ24:BQ26))</f>
        <v>0</v>
      </c>
      <c r="BR28" s="259">
        <f t="shared" si="16"/>
        <v>0</v>
      </c>
      <c r="BS28" s="259">
        <f t="shared" si="16"/>
        <v>0</v>
      </c>
      <c r="BT28" s="259">
        <f t="shared" si="16"/>
        <v>0</v>
      </c>
      <c r="BU28" s="259">
        <f t="shared" si="16"/>
        <v>0</v>
      </c>
      <c r="BV28" s="259">
        <f t="shared" si="16"/>
        <v>0</v>
      </c>
      <c r="BW28" s="259">
        <f t="shared" si="16"/>
        <v>0</v>
      </c>
      <c r="BX28" s="259">
        <f t="shared" si="16"/>
        <v>0</v>
      </c>
      <c r="BY28" s="259">
        <f t="shared" si="16"/>
        <v>0</v>
      </c>
      <c r="BZ28" s="259">
        <f t="shared" si="16"/>
        <v>0</v>
      </c>
      <c r="CA28" s="259">
        <f t="shared" si="16"/>
        <v>0</v>
      </c>
      <c r="CB28" s="259">
        <f t="shared" si="16"/>
        <v>0</v>
      </c>
      <c r="CC28" s="259">
        <f t="shared" si="16"/>
        <v>0</v>
      </c>
      <c r="CD28" s="259">
        <f t="shared" si="16"/>
        <v>0</v>
      </c>
      <c r="CE28" s="259">
        <f t="shared" si="16"/>
        <v>0</v>
      </c>
      <c r="CF28" s="259">
        <f t="shared" si="16"/>
        <v>0</v>
      </c>
      <c r="CG28" s="259">
        <f t="shared" si="16"/>
        <v>0</v>
      </c>
      <c r="CH28" s="259">
        <f t="shared" si="16"/>
        <v>0</v>
      </c>
      <c r="CI28" s="259">
        <f t="shared" si="16"/>
        <v>0</v>
      </c>
      <c r="CJ28" s="259">
        <f t="shared" si="16"/>
        <v>0</v>
      </c>
      <c r="CK28" s="259">
        <f t="shared" si="16"/>
        <v>0</v>
      </c>
      <c r="CL28" s="259">
        <f t="shared" si="16"/>
        <v>0</v>
      </c>
      <c r="CM28" s="259">
        <f t="shared" si="16"/>
        <v>0</v>
      </c>
      <c r="CN28" s="259">
        <f t="shared" si="16"/>
        <v>0</v>
      </c>
      <c r="CO28" s="259">
        <f t="shared" si="16"/>
        <v>0</v>
      </c>
      <c r="CP28" s="259">
        <f t="shared" si="16"/>
        <v>0</v>
      </c>
      <c r="CQ28" s="259">
        <f t="shared" si="16"/>
        <v>0</v>
      </c>
      <c r="CR28" s="259">
        <f t="shared" si="16"/>
        <v>0</v>
      </c>
      <c r="CS28" s="259">
        <f t="shared" si="16"/>
        <v>0</v>
      </c>
      <c r="CT28" s="259">
        <f t="shared" si="16"/>
        <v>0</v>
      </c>
      <c r="CU28" s="259">
        <f t="shared" si="16"/>
        <v>0</v>
      </c>
      <c r="CV28" s="259">
        <f t="shared" si="16"/>
        <v>0</v>
      </c>
      <c r="CW28" s="259">
        <f t="shared" si="16"/>
        <v>0</v>
      </c>
      <c r="CX28" s="259">
        <f t="shared" si="16"/>
        <v>0</v>
      </c>
      <c r="CY28" s="259">
        <f t="shared" si="16"/>
        <v>0</v>
      </c>
      <c r="CZ28" s="259">
        <f t="shared" si="16"/>
        <v>0</v>
      </c>
      <c r="DA28" s="259">
        <f t="shared" si="16"/>
        <v>0</v>
      </c>
      <c r="DB28" s="259">
        <f t="shared" si="16"/>
        <v>0</v>
      </c>
      <c r="DC28" s="259">
        <f t="shared" si="16"/>
        <v>0</v>
      </c>
      <c r="DD28" s="259">
        <f t="shared" si="16"/>
        <v>0</v>
      </c>
      <c r="DE28" s="259">
        <f t="shared" si="16"/>
        <v>0</v>
      </c>
      <c r="DF28" s="259">
        <f t="shared" si="16"/>
        <v>0</v>
      </c>
      <c r="DG28" s="259">
        <f t="shared" si="16"/>
        <v>0</v>
      </c>
      <c r="DH28" s="259">
        <f t="shared" si="16"/>
        <v>0</v>
      </c>
      <c r="DI28" s="259">
        <f t="shared" si="16"/>
        <v>0</v>
      </c>
      <c r="DJ28" s="259">
        <f t="shared" si="16"/>
        <v>0</v>
      </c>
      <c r="DK28" s="259">
        <f t="shared" si="16"/>
        <v>0</v>
      </c>
      <c r="DL28" s="259">
        <f t="shared" si="16"/>
        <v>0</v>
      </c>
      <c r="DM28" s="259">
        <f t="shared" si="16"/>
        <v>0</v>
      </c>
      <c r="DN28" s="259">
        <f t="shared" si="16"/>
        <v>0</v>
      </c>
      <c r="DO28" s="259">
        <f t="shared" si="16"/>
        <v>0</v>
      </c>
      <c r="DP28" s="259">
        <f t="shared" si="16"/>
        <v>0</v>
      </c>
      <c r="DQ28" s="259">
        <f t="shared" si="16"/>
        <v>0</v>
      </c>
      <c r="DR28" s="259">
        <f t="shared" si="16"/>
        <v>0</v>
      </c>
      <c r="DS28" s="259">
        <f t="shared" si="16"/>
        <v>0</v>
      </c>
      <c r="DT28" s="259">
        <f t="shared" si="16"/>
        <v>0</v>
      </c>
      <c r="DU28" s="259">
        <f t="shared" si="16"/>
        <v>0</v>
      </c>
      <c r="DV28" s="259">
        <f t="shared" si="16"/>
        <v>0</v>
      </c>
      <c r="DW28" s="259">
        <f t="shared" si="16"/>
        <v>0</v>
      </c>
      <c r="DX28" s="259">
        <f t="shared" si="16"/>
        <v>0</v>
      </c>
      <c r="DY28" s="259">
        <f t="shared" si="16"/>
        <v>0</v>
      </c>
      <c r="DZ28" s="259">
        <f t="shared" si="16"/>
        <v>0</v>
      </c>
      <c r="EA28" s="259">
        <f t="shared" si="16"/>
        <v>0</v>
      </c>
      <c r="EB28" s="259">
        <f t="shared" si="16"/>
        <v>0</v>
      </c>
      <c r="EC28" s="259">
        <f t="shared" ref="EC28:GA28" si="17">IF(ISBLANK(EC23),0,SUM(EC24:EC26))</f>
        <v>0</v>
      </c>
      <c r="ED28" s="259">
        <f t="shared" si="17"/>
        <v>0</v>
      </c>
      <c r="EE28" s="259">
        <f t="shared" si="17"/>
        <v>0</v>
      </c>
      <c r="EF28" s="259">
        <f t="shared" si="17"/>
        <v>0</v>
      </c>
      <c r="EG28" s="259">
        <f t="shared" si="17"/>
        <v>0</v>
      </c>
      <c r="EH28" s="259">
        <f t="shared" si="17"/>
        <v>0</v>
      </c>
      <c r="EI28" s="259">
        <f t="shared" si="17"/>
        <v>0</v>
      </c>
      <c r="EJ28" s="259">
        <f t="shared" si="17"/>
        <v>0</v>
      </c>
      <c r="EK28" s="259">
        <f t="shared" si="17"/>
        <v>0</v>
      </c>
      <c r="EL28" s="259">
        <f t="shared" si="17"/>
        <v>0</v>
      </c>
      <c r="EM28" s="259">
        <f t="shared" si="17"/>
        <v>0</v>
      </c>
      <c r="EN28" s="259">
        <f t="shared" si="17"/>
        <v>0</v>
      </c>
      <c r="EO28" s="259">
        <f t="shared" si="17"/>
        <v>0</v>
      </c>
      <c r="EP28" s="259">
        <f t="shared" si="17"/>
        <v>0</v>
      </c>
      <c r="EQ28" s="259">
        <f t="shared" si="17"/>
        <v>0</v>
      </c>
      <c r="ER28" s="259">
        <f t="shared" si="17"/>
        <v>0</v>
      </c>
      <c r="ES28" s="259">
        <f t="shared" si="17"/>
        <v>0</v>
      </c>
      <c r="ET28" s="259">
        <f t="shared" si="17"/>
        <v>0</v>
      </c>
      <c r="EU28" s="259">
        <f t="shared" si="17"/>
        <v>0</v>
      </c>
      <c r="EV28" s="259">
        <f t="shared" si="17"/>
        <v>0</v>
      </c>
      <c r="EW28" s="259">
        <f t="shared" si="17"/>
        <v>0</v>
      </c>
      <c r="EX28" s="259">
        <f t="shared" si="17"/>
        <v>0</v>
      </c>
      <c r="EY28" s="259">
        <f t="shared" si="17"/>
        <v>0</v>
      </c>
      <c r="EZ28" s="259">
        <f t="shared" si="17"/>
        <v>0</v>
      </c>
      <c r="FA28" s="259">
        <f t="shared" si="17"/>
        <v>0</v>
      </c>
      <c r="FB28" s="259">
        <f t="shared" si="17"/>
        <v>0</v>
      </c>
      <c r="FC28" s="259">
        <f t="shared" si="17"/>
        <v>0</v>
      </c>
      <c r="FD28" s="259">
        <f t="shared" si="17"/>
        <v>0</v>
      </c>
      <c r="FE28" s="259">
        <f t="shared" si="17"/>
        <v>0</v>
      </c>
      <c r="FF28" s="259">
        <f t="shared" si="17"/>
        <v>0</v>
      </c>
      <c r="FG28" s="259">
        <f t="shared" si="17"/>
        <v>0</v>
      </c>
      <c r="FH28" s="259">
        <f t="shared" si="17"/>
        <v>0</v>
      </c>
      <c r="FI28" s="259">
        <f t="shared" si="17"/>
        <v>0</v>
      </c>
      <c r="FJ28" s="259">
        <f t="shared" si="17"/>
        <v>0</v>
      </c>
      <c r="FK28" s="259">
        <f t="shared" si="17"/>
        <v>0</v>
      </c>
      <c r="FL28" s="259">
        <f t="shared" si="17"/>
        <v>0</v>
      </c>
      <c r="FM28" s="259">
        <f t="shared" si="17"/>
        <v>0</v>
      </c>
      <c r="FN28" s="259">
        <f t="shared" si="17"/>
        <v>0</v>
      </c>
      <c r="FO28" s="259">
        <f t="shared" si="17"/>
        <v>0</v>
      </c>
      <c r="FP28" s="259">
        <f t="shared" si="17"/>
        <v>0</v>
      </c>
      <c r="FQ28" s="259">
        <f t="shared" si="17"/>
        <v>0</v>
      </c>
      <c r="FR28" s="259">
        <f t="shared" si="17"/>
        <v>0</v>
      </c>
      <c r="FS28" s="259">
        <f t="shared" si="17"/>
        <v>0</v>
      </c>
      <c r="FT28" s="259">
        <f t="shared" si="17"/>
        <v>0</v>
      </c>
      <c r="FU28" s="259">
        <f t="shared" si="17"/>
        <v>0</v>
      </c>
      <c r="FV28" s="259">
        <f t="shared" si="17"/>
        <v>0</v>
      </c>
      <c r="FW28" s="259">
        <f t="shared" si="17"/>
        <v>0</v>
      </c>
      <c r="FX28" s="259">
        <f t="shared" si="17"/>
        <v>0</v>
      </c>
      <c r="FY28" s="259">
        <f t="shared" si="17"/>
        <v>0</v>
      </c>
      <c r="FZ28" s="259">
        <f t="shared" si="17"/>
        <v>0</v>
      </c>
      <c r="GA28" s="259">
        <f t="shared" si="17"/>
        <v>0</v>
      </c>
      <c r="GB28" s="254"/>
    </row>
    <row r="29" spans="1:184" s="262" customFormat="1" ht="12.75" customHeight="1" x14ac:dyDescent="0.25">
      <c r="A29" s="228">
        <v>335</v>
      </c>
      <c r="B29" s="257"/>
      <c r="C29" s="258" t="s">
        <v>90</v>
      </c>
      <c r="D29" s="261">
        <f>IF(ISBLANK(D18),0,(D28/D18/10))</f>
        <v>16.7</v>
      </c>
      <c r="E29" s="261">
        <f t="shared" ref="E29:BP29" si="18">IF(ISBLANK(E18),0,(E28/E18/10))</f>
        <v>21.041666666666668</v>
      </c>
      <c r="F29" s="261">
        <f t="shared" si="18"/>
        <v>17.333333333333336</v>
      </c>
      <c r="G29" s="261">
        <f t="shared" si="18"/>
        <v>18.25</v>
      </c>
      <c r="H29" s="261">
        <f t="shared" si="18"/>
        <v>19</v>
      </c>
      <c r="I29" s="261">
        <f t="shared" si="18"/>
        <v>18.333333333333336</v>
      </c>
      <c r="J29" s="261">
        <f t="shared" si="18"/>
        <v>0</v>
      </c>
      <c r="K29" s="261">
        <f t="shared" si="18"/>
        <v>0</v>
      </c>
      <c r="L29" s="261">
        <f t="shared" si="18"/>
        <v>0</v>
      </c>
      <c r="M29" s="261">
        <f t="shared" si="18"/>
        <v>0</v>
      </c>
      <c r="N29" s="261">
        <f t="shared" si="18"/>
        <v>0</v>
      </c>
      <c r="O29" s="261">
        <f t="shared" si="18"/>
        <v>0</v>
      </c>
      <c r="P29" s="261">
        <f t="shared" si="18"/>
        <v>0</v>
      </c>
      <c r="Q29" s="261">
        <f t="shared" si="18"/>
        <v>0</v>
      </c>
      <c r="R29" s="261">
        <f t="shared" si="18"/>
        <v>0</v>
      </c>
      <c r="S29" s="261">
        <f t="shared" si="18"/>
        <v>0</v>
      </c>
      <c r="T29" s="261">
        <f t="shared" si="18"/>
        <v>0</v>
      </c>
      <c r="U29" s="261">
        <f t="shared" si="18"/>
        <v>0</v>
      </c>
      <c r="V29" s="261">
        <f t="shared" si="18"/>
        <v>0</v>
      </c>
      <c r="W29" s="261">
        <f t="shared" si="18"/>
        <v>0</v>
      </c>
      <c r="X29" s="261">
        <f t="shared" si="18"/>
        <v>0</v>
      </c>
      <c r="Y29" s="261">
        <f t="shared" si="18"/>
        <v>0</v>
      </c>
      <c r="Z29" s="261">
        <f t="shared" si="18"/>
        <v>0</v>
      </c>
      <c r="AA29" s="261">
        <f t="shared" si="18"/>
        <v>0</v>
      </c>
      <c r="AB29" s="261">
        <f t="shared" si="18"/>
        <v>0</v>
      </c>
      <c r="AC29" s="261">
        <f t="shared" si="18"/>
        <v>0</v>
      </c>
      <c r="AD29" s="261">
        <f t="shared" si="18"/>
        <v>0</v>
      </c>
      <c r="AE29" s="261">
        <f t="shared" si="18"/>
        <v>0</v>
      </c>
      <c r="AF29" s="261">
        <f t="shared" si="18"/>
        <v>0</v>
      </c>
      <c r="AG29" s="261">
        <f t="shared" si="18"/>
        <v>0</v>
      </c>
      <c r="AH29" s="261">
        <f t="shared" si="18"/>
        <v>0</v>
      </c>
      <c r="AI29" s="261">
        <f t="shared" si="18"/>
        <v>0</v>
      </c>
      <c r="AJ29" s="261">
        <f t="shared" si="18"/>
        <v>0</v>
      </c>
      <c r="AK29" s="261">
        <f t="shared" si="18"/>
        <v>0</v>
      </c>
      <c r="AL29" s="261">
        <f t="shared" si="18"/>
        <v>0</v>
      </c>
      <c r="AM29" s="261">
        <f t="shared" si="18"/>
        <v>0</v>
      </c>
      <c r="AN29" s="261">
        <f t="shared" si="18"/>
        <v>0</v>
      </c>
      <c r="AO29" s="261">
        <f t="shared" si="18"/>
        <v>0</v>
      </c>
      <c r="AP29" s="261">
        <f t="shared" si="18"/>
        <v>0</v>
      </c>
      <c r="AQ29" s="261">
        <f t="shared" si="18"/>
        <v>0</v>
      </c>
      <c r="AR29" s="261">
        <f t="shared" si="18"/>
        <v>0</v>
      </c>
      <c r="AS29" s="261">
        <f t="shared" si="18"/>
        <v>0</v>
      </c>
      <c r="AT29" s="261">
        <f t="shared" si="18"/>
        <v>0</v>
      </c>
      <c r="AU29" s="261">
        <f t="shared" si="18"/>
        <v>0</v>
      </c>
      <c r="AV29" s="261">
        <f t="shared" si="18"/>
        <v>0</v>
      </c>
      <c r="AW29" s="261">
        <f t="shared" si="18"/>
        <v>0</v>
      </c>
      <c r="AX29" s="261">
        <f t="shared" si="18"/>
        <v>0</v>
      </c>
      <c r="AY29" s="261">
        <f t="shared" si="18"/>
        <v>0</v>
      </c>
      <c r="AZ29" s="261">
        <f t="shared" si="18"/>
        <v>0</v>
      </c>
      <c r="BA29" s="261">
        <f t="shared" si="18"/>
        <v>0</v>
      </c>
      <c r="BB29" s="261">
        <f t="shared" si="18"/>
        <v>0</v>
      </c>
      <c r="BC29" s="261">
        <f t="shared" si="18"/>
        <v>0</v>
      </c>
      <c r="BD29" s="261">
        <f t="shared" si="18"/>
        <v>0</v>
      </c>
      <c r="BE29" s="261">
        <f t="shared" si="18"/>
        <v>0</v>
      </c>
      <c r="BF29" s="261">
        <f t="shared" si="18"/>
        <v>0</v>
      </c>
      <c r="BG29" s="261">
        <f t="shared" si="18"/>
        <v>0</v>
      </c>
      <c r="BH29" s="261">
        <f t="shared" si="18"/>
        <v>0</v>
      </c>
      <c r="BI29" s="261">
        <f t="shared" si="18"/>
        <v>0</v>
      </c>
      <c r="BJ29" s="261">
        <f t="shared" si="18"/>
        <v>0</v>
      </c>
      <c r="BK29" s="261">
        <f t="shared" si="18"/>
        <v>0</v>
      </c>
      <c r="BL29" s="261">
        <f t="shared" si="18"/>
        <v>0</v>
      </c>
      <c r="BM29" s="261">
        <f t="shared" si="18"/>
        <v>0</v>
      </c>
      <c r="BN29" s="261">
        <f t="shared" si="18"/>
        <v>0</v>
      </c>
      <c r="BO29" s="261">
        <f t="shared" si="18"/>
        <v>0</v>
      </c>
      <c r="BP29" s="261">
        <f t="shared" si="18"/>
        <v>0</v>
      </c>
      <c r="BQ29" s="261">
        <f t="shared" ref="BQ29:EB29" si="19">IF(ISBLANK(BQ18),0,(BQ28/BQ18/10))</f>
        <v>0</v>
      </c>
      <c r="BR29" s="261">
        <f t="shared" si="19"/>
        <v>0</v>
      </c>
      <c r="BS29" s="261">
        <f t="shared" si="19"/>
        <v>0</v>
      </c>
      <c r="BT29" s="261">
        <f t="shared" si="19"/>
        <v>0</v>
      </c>
      <c r="BU29" s="261">
        <f t="shared" si="19"/>
        <v>0</v>
      </c>
      <c r="BV29" s="261">
        <f t="shared" si="19"/>
        <v>0</v>
      </c>
      <c r="BW29" s="261">
        <f t="shared" si="19"/>
        <v>0</v>
      </c>
      <c r="BX29" s="261">
        <f t="shared" si="19"/>
        <v>0</v>
      </c>
      <c r="BY29" s="261">
        <f t="shared" si="19"/>
        <v>0</v>
      </c>
      <c r="BZ29" s="261">
        <f t="shared" si="19"/>
        <v>0</v>
      </c>
      <c r="CA29" s="261">
        <f t="shared" si="19"/>
        <v>0</v>
      </c>
      <c r="CB29" s="261">
        <f t="shared" si="19"/>
        <v>0</v>
      </c>
      <c r="CC29" s="261">
        <f t="shared" si="19"/>
        <v>0</v>
      </c>
      <c r="CD29" s="261">
        <f t="shared" si="19"/>
        <v>0</v>
      </c>
      <c r="CE29" s="261">
        <f t="shared" si="19"/>
        <v>0</v>
      </c>
      <c r="CF29" s="261">
        <f t="shared" si="19"/>
        <v>0</v>
      </c>
      <c r="CG29" s="261">
        <f t="shared" si="19"/>
        <v>0</v>
      </c>
      <c r="CH29" s="261">
        <f t="shared" si="19"/>
        <v>0</v>
      </c>
      <c r="CI29" s="261">
        <f t="shared" si="19"/>
        <v>0</v>
      </c>
      <c r="CJ29" s="261">
        <f t="shared" si="19"/>
        <v>0</v>
      </c>
      <c r="CK29" s="261">
        <f t="shared" si="19"/>
        <v>0</v>
      </c>
      <c r="CL29" s="261">
        <f t="shared" si="19"/>
        <v>0</v>
      </c>
      <c r="CM29" s="261">
        <f t="shared" si="19"/>
        <v>0</v>
      </c>
      <c r="CN29" s="261">
        <f t="shared" si="19"/>
        <v>0</v>
      </c>
      <c r="CO29" s="261">
        <f t="shared" si="19"/>
        <v>0</v>
      </c>
      <c r="CP29" s="261">
        <f t="shared" si="19"/>
        <v>0</v>
      </c>
      <c r="CQ29" s="261">
        <f t="shared" si="19"/>
        <v>0</v>
      </c>
      <c r="CR29" s="261">
        <f t="shared" si="19"/>
        <v>0</v>
      </c>
      <c r="CS29" s="261">
        <f t="shared" si="19"/>
        <v>0</v>
      </c>
      <c r="CT29" s="261">
        <f t="shared" si="19"/>
        <v>0</v>
      </c>
      <c r="CU29" s="261">
        <f t="shared" si="19"/>
        <v>0</v>
      </c>
      <c r="CV29" s="261">
        <f t="shared" si="19"/>
        <v>0</v>
      </c>
      <c r="CW29" s="261">
        <f t="shared" si="19"/>
        <v>0</v>
      </c>
      <c r="CX29" s="261">
        <f t="shared" si="19"/>
        <v>0</v>
      </c>
      <c r="CY29" s="261">
        <f t="shared" si="19"/>
        <v>0</v>
      </c>
      <c r="CZ29" s="261">
        <f t="shared" si="19"/>
        <v>0</v>
      </c>
      <c r="DA29" s="261">
        <f t="shared" si="19"/>
        <v>0</v>
      </c>
      <c r="DB29" s="261">
        <f t="shared" si="19"/>
        <v>0</v>
      </c>
      <c r="DC29" s="261">
        <f t="shared" si="19"/>
        <v>0</v>
      </c>
      <c r="DD29" s="261">
        <f t="shared" si="19"/>
        <v>0</v>
      </c>
      <c r="DE29" s="261">
        <f t="shared" si="19"/>
        <v>0</v>
      </c>
      <c r="DF29" s="261">
        <f t="shared" si="19"/>
        <v>0</v>
      </c>
      <c r="DG29" s="261">
        <f t="shared" si="19"/>
        <v>0</v>
      </c>
      <c r="DH29" s="261">
        <f t="shared" si="19"/>
        <v>0</v>
      </c>
      <c r="DI29" s="261">
        <f t="shared" si="19"/>
        <v>0</v>
      </c>
      <c r="DJ29" s="261">
        <f t="shared" si="19"/>
        <v>0</v>
      </c>
      <c r="DK29" s="261">
        <f t="shared" si="19"/>
        <v>0</v>
      </c>
      <c r="DL29" s="261">
        <f t="shared" si="19"/>
        <v>0</v>
      </c>
      <c r="DM29" s="261">
        <f t="shared" si="19"/>
        <v>0</v>
      </c>
      <c r="DN29" s="261">
        <f t="shared" si="19"/>
        <v>0</v>
      </c>
      <c r="DO29" s="261">
        <f t="shared" si="19"/>
        <v>0</v>
      </c>
      <c r="DP29" s="261">
        <f t="shared" si="19"/>
        <v>0</v>
      </c>
      <c r="DQ29" s="261">
        <f t="shared" si="19"/>
        <v>0</v>
      </c>
      <c r="DR29" s="261">
        <f t="shared" si="19"/>
        <v>0</v>
      </c>
      <c r="DS29" s="261">
        <f t="shared" si="19"/>
        <v>0</v>
      </c>
      <c r="DT29" s="261">
        <f t="shared" si="19"/>
        <v>0</v>
      </c>
      <c r="DU29" s="261">
        <f t="shared" si="19"/>
        <v>0</v>
      </c>
      <c r="DV29" s="261">
        <f t="shared" si="19"/>
        <v>0</v>
      </c>
      <c r="DW29" s="261">
        <f t="shared" si="19"/>
        <v>0</v>
      </c>
      <c r="DX29" s="261">
        <f t="shared" si="19"/>
        <v>0</v>
      </c>
      <c r="DY29" s="261">
        <f t="shared" si="19"/>
        <v>0</v>
      </c>
      <c r="DZ29" s="261">
        <f t="shared" si="19"/>
        <v>0</v>
      </c>
      <c r="EA29" s="261">
        <f t="shared" si="19"/>
        <v>0</v>
      </c>
      <c r="EB29" s="261">
        <f t="shared" si="19"/>
        <v>0</v>
      </c>
      <c r="EC29" s="261">
        <f t="shared" ref="EC29:GA29" si="20">IF(ISBLANK(EC18),0,(EC28/EC18/10))</f>
        <v>0</v>
      </c>
      <c r="ED29" s="261">
        <f t="shared" si="20"/>
        <v>0</v>
      </c>
      <c r="EE29" s="261">
        <f t="shared" si="20"/>
        <v>0</v>
      </c>
      <c r="EF29" s="261">
        <f t="shared" si="20"/>
        <v>0</v>
      </c>
      <c r="EG29" s="261">
        <f t="shared" si="20"/>
        <v>0</v>
      </c>
      <c r="EH29" s="261">
        <f t="shared" si="20"/>
        <v>0</v>
      </c>
      <c r="EI29" s="261">
        <f t="shared" si="20"/>
        <v>0</v>
      </c>
      <c r="EJ29" s="261">
        <f t="shared" si="20"/>
        <v>0</v>
      </c>
      <c r="EK29" s="261">
        <f t="shared" si="20"/>
        <v>0</v>
      </c>
      <c r="EL29" s="261">
        <f t="shared" si="20"/>
        <v>0</v>
      </c>
      <c r="EM29" s="261">
        <f t="shared" si="20"/>
        <v>0</v>
      </c>
      <c r="EN29" s="261">
        <f t="shared" si="20"/>
        <v>0</v>
      </c>
      <c r="EO29" s="261">
        <f t="shared" si="20"/>
        <v>0</v>
      </c>
      <c r="EP29" s="261">
        <f t="shared" si="20"/>
        <v>0</v>
      </c>
      <c r="EQ29" s="261">
        <f t="shared" si="20"/>
        <v>0</v>
      </c>
      <c r="ER29" s="261">
        <f t="shared" si="20"/>
        <v>0</v>
      </c>
      <c r="ES29" s="261">
        <f t="shared" si="20"/>
        <v>0</v>
      </c>
      <c r="ET29" s="261">
        <f t="shared" si="20"/>
        <v>0</v>
      </c>
      <c r="EU29" s="261">
        <f t="shared" si="20"/>
        <v>0</v>
      </c>
      <c r="EV29" s="261">
        <f t="shared" si="20"/>
        <v>0</v>
      </c>
      <c r="EW29" s="261">
        <f t="shared" si="20"/>
        <v>0</v>
      </c>
      <c r="EX29" s="261">
        <f t="shared" si="20"/>
        <v>0</v>
      </c>
      <c r="EY29" s="261">
        <f t="shared" si="20"/>
        <v>0</v>
      </c>
      <c r="EZ29" s="261">
        <f t="shared" si="20"/>
        <v>0</v>
      </c>
      <c r="FA29" s="261">
        <f t="shared" si="20"/>
        <v>0</v>
      </c>
      <c r="FB29" s="261">
        <f t="shared" si="20"/>
        <v>0</v>
      </c>
      <c r="FC29" s="261">
        <f t="shared" si="20"/>
        <v>0</v>
      </c>
      <c r="FD29" s="261">
        <f t="shared" si="20"/>
        <v>0</v>
      </c>
      <c r="FE29" s="261">
        <f t="shared" si="20"/>
        <v>0</v>
      </c>
      <c r="FF29" s="261">
        <f t="shared" si="20"/>
        <v>0</v>
      </c>
      <c r="FG29" s="261">
        <f t="shared" si="20"/>
        <v>0</v>
      </c>
      <c r="FH29" s="261">
        <f t="shared" si="20"/>
        <v>0</v>
      </c>
      <c r="FI29" s="261">
        <f t="shared" si="20"/>
        <v>0</v>
      </c>
      <c r="FJ29" s="261">
        <f t="shared" si="20"/>
        <v>0</v>
      </c>
      <c r="FK29" s="261">
        <f t="shared" si="20"/>
        <v>0</v>
      </c>
      <c r="FL29" s="261">
        <f t="shared" si="20"/>
        <v>0</v>
      </c>
      <c r="FM29" s="261">
        <f t="shared" si="20"/>
        <v>0</v>
      </c>
      <c r="FN29" s="261">
        <f t="shared" si="20"/>
        <v>0</v>
      </c>
      <c r="FO29" s="261">
        <f t="shared" si="20"/>
        <v>0</v>
      </c>
      <c r="FP29" s="261">
        <f t="shared" si="20"/>
        <v>0</v>
      </c>
      <c r="FQ29" s="261">
        <f t="shared" si="20"/>
        <v>0</v>
      </c>
      <c r="FR29" s="261">
        <f t="shared" si="20"/>
        <v>0</v>
      </c>
      <c r="FS29" s="261">
        <f t="shared" si="20"/>
        <v>0</v>
      </c>
      <c r="FT29" s="261">
        <f t="shared" si="20"/>
        <v>0</v>
      </c>
      <c r="FU29" s="261">
        <f t="shared" si="20"/>
        <v>0</v>
      </c>
      <c r="FV29" s="261">
        <f t="shared" si="20"/>
        <v>0</v>
      </c>
      <c r="FW29" s="261">
        <f t="shared" si="20"/>
        <v>0</v>
      </c>
      <c r="FX29" s="261">
        <f t="shared" si="20"/>
        <v>0</v>
      </c>
      <c r="FY29" s="261">
        <f t="shared" si="20"/>
        <v>0</v>
      </c>
      <c r="FZ29" s="261">
        <f t="shared" si="20"/>
        <v>0</v>
      </c>
      <c r="GA29" s="261">
        <f t="shared" si="20"/>
        <v>0</v>
      </c>
      <c r="GB29" s="256"/>
    </row>
    <row r="30" spans="1:184" ht="12.95" customHeight="1" x14ac:dyDescent="0.25">
      <c r="GB30" s="260"/>
    </row>
    <row r="31" spans="1:184" ht="12.95" hidden="1" customHeight="1" x14ac:dyDescent="0.25">
      <c r="GB31" s="262"/>
    </row>
    <row r="32" spans="1:184" ht="12.95" hidden="1" customHeight="1" x14ac:dyDescent="0.25"/>
    <row r="33" spans="2:5" ht="12.95" hidden="1" customHeight="1" x14ac:dyDescent="0.25"/>
    <row r="34" spans="2:5" ht="12.95" hidden="1" customHeight="1" x14ac:dyDescent="0.25">
      <c r="B34" s="263" t="s">
        <v>64</v>
      </c>
      <c r="C34" s="263" t="s">
        <v>332</v>
      </c>
      <c r="D34" s="263" t="s">
        <v>65</v>
      </c>
      <c r="E34" s="263" t="s">
        <v>333</v>
      </c>
    </row>
    <row r="35" spans="2:5" ht="12.95" hidden="1" customHeight="1" x14ac:dyDescent="0.25">
      <c r="B35" s="263" t="str">
        <f>"T 1: "&amp;Eing_Abnehmerart1</f>
        <v>T 1: Private</v>
      </c>
      <c r="C35" s="263">
        <f>Eing_Arbeitspreis1</f>
        <v>0.1</v>
      </c>
      <c r="D35" s="263">
        <f>Eing_Leistungspreis1</f>
        <v>110</v>
      </c>
      <c r="E35" s="263">
        <f>Eing_Vertragslaufzeit1</f>
        <v>30</v>
      </c>
    </row>
    <row r="36" spans="2:5" ht="12.95" hidden="1" customHeight="1" x14ac:dyDescent="0.25">
      <c r="B36" s="263" t="str">
        <f>"T 2: "&amp;Eing_Abnehmerart2</f>
        <v>T 2: Gewerbe</v>
      </c>
      <c r="C36" s="263">
        <f>Eing_Arbeitspreis2</f>
        <v>0.1</v>
      </c>
      <c r="D36" s="263">
        <f>Eing_Leistungspreis2</f>
        <v>85</v>
      </c>
      <c r="E36" s="263">
        <f>Eing_Vertragslaufzeit2</f>
        <v>20</v>
      </c>
    </row>
    <row r="37" spans="2:5" ht="12.95" hidden="1" customHeight="1" x14ac:dyDescent="0.25">
      <c r="B37" s="263" t="str">
        <f>"T 3: "&amp;Eing_Abnehmerart3</f>
        <v>T 3: Grossabnehmer</v>
      </c>
      <c r="C37" s="263">
        <f>Eing_Arbeitspreis3</f>
        <v>0.1</v>
      </c>
      <c r="D37" s="263">
        <f>Eing_Leistungspreis3</f>
        <v>75</v>
      </c>
      <c r="E37" s="263">
        <f>Eing_Vertragslaufzeit3</f>
        <v>10</v>
      </c>
    </row>
    <row r="38" spans="2:5" ht="12.95" hidden="1" customHeight="1" x14ac:dyDescent="0.25">
      <c r="B38" s="263" t="str">
        <f>"T 4: "&amp;Eing_Abnehmerart4</f>
        <v xml:space="preserve">T 4: </v>
      </c>
      <c r="C38" s="263">
        <f>Eing_Arbeitspreis4</f>
        <v>0</v>
      </c>
      <c r="D38" s="263">
        <f>Eing_Leistungspreis4</f>
        <v>0</v>
      </c>
      <c r="E38" s="263">
        <f>Eing_Vertragslaufzeit4</f>
        <v>0</v>
      </c>
    </row>
  </sheetData>
  <sheetProtection algorithmName="SHA-512" hashValue="JEYtCk5vw0vbMjJk7aWJ16P4rJykRWkHXvds4PkukgN7mrIQH7gJO2YluVCGNz7kKmIM6xlkcuLOhAjhMCtvPw==" saltValue="uHtCElnW777FhE2dROgeOw==" spinCount="100000" sheet="1" objects="1" scenarios="1"/>
  <conditionalFormatting sqref="D27:GA29">
    <cfRule type="expression" dxfId="4" priority="2" stopIfTrue="1">
      <formula>OR(ISERROR(D$27),D$27=0)</formula>
    </cfRule>
  </conditionalFormatting>
  <conditionalFormatting sqref="D22:GA22">
    <cfRule type="expression" dxfId="3" priority="1">
      <formula>AND(NOT(D21=0),ISBLANK(D22))</formula>
    </cfRule>
  </conditionalFormatting>
  <dataValidations count="1">
    <dataValidation type="list" showInputMessage="1" showErrorMessage="1" sqref="D22:GA22" xr:uid="{00000000-0002-0000-0300-000000000000}">
      <formula1>$B$35:$B$38</formula1>
    </dataValidation>
  </dataValidations>
  <hyperlinks>
    <hyperlink ref="A1" location="I1_300" display="I1_300" xr:uid="{00000000-0004-0000-0300-000000000000}"/>
    <hyperlink ref="A3" location="I1_101" display="I1_101" xr:uid="{00000000-0004-0000-0300-000001000000}"/>
    <hyperlink ref="A4" location="I1_102" display="I1_102" xr:uid="{00000000-0004-0000-0300-000002000000}"/>
    <hyperlink ref="A6" location="I1_206" display="I1_206" xr:uid="{00000000-0004-0000-0300-000003000000}"/>
    <hyperlink ref="A10" location="I1_207" display="I1_207" xr:uid="{00000000-0004-0000-0300-000004000000}"/>
    <hyperlink ref="A12" location="I1_310" display="I1_310" xr:uid="{00000000-0004-0000-0300-000005000000}"/>
    <hyperlink ref="A23" location="I1_325" display="I1_325" xr:uid="{00000000-0004-0000-0300-000006000000}"/>
    <hyperlink ref="A14" location="I1_311" display="I1_311" xr:uid="{00000000-0004-0000-0300-000007000000}"/>
    <hyperlink ref="A15" location="I1_312" display="I1_312" xr:uid="{00000000-0004-0000-0300-000008000000}"/>
    <hyperlink ref="A18" location="I1_320" display="I1_320" xr:uid="{00000000-0004-0000-0300-000009000000}"/>
    <hyperlink ref="A19" location="I1_321" display="I1_321" xr:uid="{00000000-0004-0000-0300-00000A000000}"/>
    <hyperlink ref="A20" location="I1_322" display="I1_322" xr:uid="{00000000-0004-0000-0300-00000B000000}"/>
    <hyperlink ref="A21" location="I1_323" display="I1_323" xr:uid="{00000000-0004-0000-0300-00000C000000}"/>
    <hyperlink ref="A22" location="I1_324" display="I1_324" xr:uid="{00000000-0004-0000-0300-00000D000000}"/>
    <hyperlink ref="A24" location="I1_330" display="I1_330" xr:uid="{00000000-0004-0000-0300-00000E000000}"/>
    <hyperlink ref="A25" location="I1_331" display="I1_331" xr:uid="{00000000-0004-0000-0300-00000F000000}"/>
    <hyperlink ref="A26" location="I1_332" display="I1_332" xr:uid="{00000000-0004-0000-0300-000010000000}"/>
    <hyperlink ref="A27" location="I1_333" display="I1_333" xr:uid="{00000000-0004-0000-0300-000011000000}"/>
    <hyperlink ref="A28" location="I1_334" display="I1_334" xr:uid="{00000000-0004-0000-0300-000012000000}"/>
    <hyperlink ref="A29" location="I1_335" display="I1_335" xr:uid="{00000000-0004-0000-0300-000013000000}"/>
    <hyperlink ref="A5" location="I1_103" display="I1_103" xr:uid="{1684037A-2959-4F16-87C0-6FC8D4EB4BF8}"/>
  </hyperlinks>
  <pageMargins left="0.78740157480314965" right="0.6692913385826772" top="1.1417322834645669" bottom="1.3385826771653544" header="0.51181102362204722" footer="0.51181102362204722"/>
  <pageSetup paperSize="9" scale="70" fitToWidth="0" fitToHeight="0" orientation="landscape" r:id="rId1"/>
  <headerFooter alignWithMargins="0">
    <oddHeader>&amp;L&amp;G&amp;R&amp;G</oddHeader>
    <oddFooter>&amp;L&amp;"Arial,Standard"&amp;10&amp;F&amp;C&amp;"Arial,Standard"&amp;10&amp;P / &amp;N &amp;R&amp;"Arial,Standard"&amp;10&amp;D</oddFooter>
  </headerFooter>
  <ignoredErrors>
    <ignoredError sqref="C10 C7:C8" unlockedFormula="1"/>
  </ignoredErrors>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1:AJ60"/>
  <sheetViews>
    <sheetView zoomScale="70" zoomScaleNormal="70" zoomScalePageLayoutView="80" workbookViewId="0">
      <selection activeCell="K36" sqref="K36"/>
    </sheetView>
  </sheetViews>
  <sheetFormatPr baseColWidth="10" defaultColWidth="0" defaultRowHeight="12.75" zeroHeight="1" x14ac:dyDescent="0.2"/>
  <cols>
    <col min="1" max="2" width="5.7109375" style="1" customWidth="1"/>
    <col min="3" max="3" width="11.7109375" style="1" customWidth="1"/>
    <col min="4" max="4" width="8.7109375" style="1" customWidth="1"/>
    <col min="5" max="28" width="11.7109375" style="1" customWidth="1"/>
    <col min="29" max="29" width="2.7109375" style="1" customWidth="1"/>
    <col min="30" max="30" width="5.7109375" style="1" customWidth="1"/>
    <col min="31" max="33" width="11.7109375" style="1" customWidth="1"/>
    <col min="34" max="34" width="5.7109375" style="79" customWidth="1"/>
    <col min="35" max="36" width="13.140625" style="79" hidden="1" customWidth="1"/>
    <col min="37" max="16384" width="3" style="1" hidden="1"/>
  </cols>
  <sheetData>
    <row r="1" spans="1:36" ht="17.100000000000001" customHeight="1" x14ac:dyDescent="0.25">
      <c r="A1" s="3">
        <v>500</v>
      </c>
      <c r="B1" s="356" t="s">
        <v>80</v>
      </c>
      <c r="C1" s="10"/>
      <c r="AH1" s="1"/>
      <c r="AI1" s="1"/>
      <c r="AJ1" s="1"/>
    </row>
    <row r="2" spans="1:36" ht="6" customHeight="1" x14ac:dyDescent="0.2">
      <c r="AH2" s="1"/>
      <c r="AI2" s="1"/>
      <c r="AJ2" s="1"/>
    </row>
    <row r="3" spans="1:36" s="105" customFormat="1" ht="12.95" customHeight="1" x14ac:dyDescent="0.2">
      <c r="A3" s="53">
        <v>101</v>
      </c>
      <c r="B3" s="103"/>
      <c r="C3" s="103"/>
      <c r="D3" s="376" t="s">
        <v>4</v>
      </c>
      <c r="E3" s="376"/>
      <c r="F3" s="376"/>
      <c r="G3" s="376"/>
      <c r="H3" s="376"/>
      <c r="I3" s="376"/>
      <c r="J3" s="104"/>
    </row>
    <row r="4" spans="1:36" s="105" customFormat="1" ht="12.95" customHeight="1" x14ac:dyDescent="0.2">
      <c r="A4" s="53">
        <v>102</v>
      </c>
      <c r="B4" s="103"/>
      <c r="C4" s="103"/>
      <c r="D4" s="377" t="s">
        <v>110</v>
      </c>
      <c r="E4" s="377"/>
      <c r="F4" s="377"/>
      <c r="G4" s="377"/>
      <c r="H4" s="377"/>
      <c r="I4" s="377"/>
      <c r="J4" s="104"/>
    </row>
    <row r="5" spans="1:36" ht="6" customHeight="1" x14ac:dyDescent="0.2">
      <c r="AH5" s="1"/>
      <c r="AI5" s="1"/>
      <c r="AJ5" s="1"/>
    </row>
    <row r="6" spans="1:36" ht="12.95" customHeight="1" x14ac:dyDescent="0.2">
      <c r="A6" s="3">
        <v>206</v>
      </c>
      <c r="B6" s="10" t="s">
        <v>47</v>
      </c>
      <c r="C6" s="10"/>
      <c r="D6" s="374" t="str">
        <f>IF(E1_Projektdaten!C7=0,"",E1_Projektdaten!C7)</f>
        <v>QMH Beispielprojekt 2</v>
      </c>
      <c r="E6" s="374"/>
      <c r="F6" s="374"/>
      <c r="G6" s="374"/>
      <c r="H6" s="374"/>
      <c r="I6" s="374"/>
      <c r="J6" s="3">
        <v>590</v>
      </c>
      <c r="K6" s="10" t="s">
        <v>253</v>
      </c>
      <c r="N6" s="106"/>
      <c r="V6" s="3">
        <v>591</v>
      </c>
      <c r="W6" s="10" t="s">
        <v>393</v>
      </c>
      <c r="AH6" s="1"/>
      <c r="AI6" s="1"/>
      <c r="AJ6" s="1"/>
    </row>
    <row r="7" spans="1:36" ht="12.95" customHeight="1" x14ac:dyDescent="0.2">
      <c r="B7" s="10"/>
      <c r="C7" s="10"/>
      <c r="D7" s="374" t="str">
        <f>IF(E1_Projektdaten!C8=0,"",E1_Projektdaten!C8)</f>
        <v>Adresszeile</v>
      </c>
      <c r="E7" s="374"/>
      <c r="F7" s="374"/>
      <c r="G7" s="374"/>
      <c r="H7" s="374"/>
      <c r="I7" s="374"/>
      <c r="J7" s="68"/>
      <c r="AH7" s="1"/>
      <c r="AI7" s="1"/>
      <c r="AJ7" s="1"/>
    </row>
    <row r="8" spans="1:36" ht="12.95" customHeight="1" x14ac:dyDescent="0.2">
      <c r="B8" s="10"/>
      <c r="C8" s="10"/>
      <c r="D8" s="374" t="str">
        <f>IF(E1_Projektdaten!C9=0,"",E1_Projektdaten!C9)</f>
        <v>PLZ  Ort</v>
      </c>
      <c r="E8" s="374"/>
      <c r="F8" s="374"/>
      <c r="G8" s="374"/>
      <c r="H8" s="374"/>
      <c r="I8" s="374"/>
      <c r="J8" s="68"/>
      <c r="AH8" s="1"/>
      <c r="AI8" s="1"/>
      <c r="AJ8" s="1"/>
    </row>
    <row r="9" spans="1:36" ht="12.95" customHeight="1" x14ac:dyDescent="0.2">
      <c r="B9" s="10"/>
      <c r="C9" s="10"/>
      <c r="E9" s="107"/>
      <c r="F9" s="107"/>
      <c r="G9" s="107"/>
      <c r="H9" s="107"/>
      <c r="I9" s="107"/>
      <c r="J9" s="107"/>
      <c r="AH9" s="1"/>
      <c r="AI9" s="1"/>
      <c r="AJ9" s="1"/>
    </row>
    <row r="10" spans="1:36" ht="12.95" customHeight="1" x14ac:dyDescent="0.2">
      <c r="A10" s="3">
        <v>207</v>
      </c>
      <c r="B10" s="108" t="s">
        <v>48</v>
      </c>
      <c r="C10" s="10"/>
      <c r="D10" s="374" t="str">
        <f>IF(E1_Projektdaten!C11=0,"",E1_Projektdaten!C11)</f>
        <v>Datum, ErstellerIn</v>
      </c>
      <c r="E10" s="374"/>
      <c r="F10" s="374"/>
      <c r="G10" s="374"/>
      <c r="H10" s="374"/>
      <c r="I10" s="374"/>
      <c r="J10" s="68"/>
      <c r="AH10" s="1"/>
      <c r="AI10" s="1"/>
      <c r="AJ10" s="1"/>
    </row>
    <row r="11" spans="1:36" ht="12.95" customHeight="1" x14ac:dyDescent="0.2">
      <c r="AH11" s="1"/>
      <c r="AI11" s="1"/>
      <c r="AJ11" s="1"/>
    </row>
    <row r="12" spans="1:36" s="105" customFormat="1" ht="12.95" customHeight="1" x14ac:dyDescent="0.2">
      <c r="A12" s="53">
        <v>501</v>
      </c>
      <c r="B12" s="103" t="s">
        <v>6</v>
      </c>
      <c r="C12" s="103"/>
      <c r="D12" s="378" t="str">
        <f>IF(E1_Projektdaten!C13&lt;&gt;"","Es existieren Warnungen im Register 'E1_Projektdaten'!","")</f>
        <v>Es existieren Warnungen im Register 'E1_Projektdaten'!</v>
      </c>
      <c r="E12" s="378"/>
      <c r="F12" s="378"/>
      <c r="G12" s="378"/>
      <c r="H12" s="378"/>
      <c r="I12" s="378"/>
      <c r="J12" s="109"/>
    </row>
    <row r="13" spans="1:36" ht="12.95" customHeight="1" x14ac:dyDescent="0.2">
      <c r="G13" s="110">
        <v>505</v>
      </c>
      <c r="H13" s="80"/>
      <c r="I13" s="80"/>
      <c r="J13" s="79"/>
      <c r="M13" s="56"/>
      <c r="N13" s="56"/>
      <c r="O13" s="56"/>
      <c r="P13" s="56"/>
      <c r="Q13" s="56"/>
      <c r="R13" s="56"/>
      <c r="S13" s="56"/>
      <c r="T13" s="56"/>
      <c r="U13" s="56"/>
      <c r="V13" s="56"/>
      <c r="W13" s="56"/>
      <c r="X13" s="56"/>
      <c r="Y13" s="56"/>
      <c r="Z13" s="56"/>
      <c r="AA13" s="56"/>
      <c r="AH13" s="1"/>
      <c r="AI13" s="1"/>
      <c r="AJ13" s="1"/>
    </row>
    <row r="14" spans="1:36" ht="12.95" customHeight="1" x14ac:dyDescent="0.2">
      <c r="A14" s="3">
        <v>510</v>
      </c>
      <c r="B14" s="111" t="s">
        <v>99</v>
      </c>
      <c r="C14" s="111"/>
      <c r="D14" s="79"/>
      <c r="E14" s="82" t="s">
        <v>221</v>
      </c>
      <c r="F14" s="82" t="s">
        <v>343</v>
      </c>
      <c r="G14" s="79" t="s">
        <v>91</v>
      </c>
      <c r="H14" s="80"/>
      <c r="I14" s="80"/>
      <c r="J14" s="79"/>
      <c r="K14" s="79"/>
      <c r="L14" s="79"/>
      <c r="M14" s="112"/>
      <c r="N14" s="78"/>
      <c r="O14" s="80"/>
      <c r="P14" s="80"/>
      <c r="Q14" s="80"/>
      <c r="R14" s="80"/>
      <c r="S14" s="80"/>
      <c r="T14" s="80"/>
      <c r="U14" s="56"/>
      <c r="V14" s="56"/>
      <c r="W14" s="56"/>
      <c r="X14" s="56"/>
      <c r="Y14" s="56"/>
      <c r="Z14" s="56"/>
      <c r="AH14" s="1"/>
      <c r="AI14" s="1"/>
      <c r="AJ14" s="1"/>
    </row>
    <row r="15" spans="1:36" ht="12.95" customHeight="1" x14ac:dyDescent="0.2">
      <c r="A15" s="3">
        <v>511</v>
      </c>
      <c r="B15" s="380" t="s">
        <v>222</v>
      </c>
      <c r="C15" s="380"/>
      <c r="D15" s="380"/>
      <c r="E15" s="380"/>
      <c r="F15" s="113">
        <f>SUM(F16:F23)</f>
        <v>193836.11111111112</v>
      </c>
      <c r="G15" s="114">
        <f>IF(F15=0,0,(F16*G16+F17*G17+F19*G19+F18*G18+F20*G20+F21*G21+F22*G22+F23*G23)/(SUM(F16:F23)))</f>
        <v>0.01</v>
      </c>
      <c r="H15" s="80"/>
      <c r="I15" s="78"/>
      <c r="J15" s="115"/>
      <c r="K15" s="115"/>
      <c r="L15" s="115"/>
      <c r="M15" s="80"/>
      <c r="N15" s="80"/>
      <c r="O15" s="80"/>
      <c r="P15" s="80"/>
      <c r="Q15" s="80"/>
      <c r="R15" s="116"/>
      <c r="S15" s="117"/>
      <c r="T15" s="118"/>
      <c r="U15" s="56"/>
      <c r="V15" s="56"/>
      <c r="W15" s="56"/>
      <c r="X15" s="56"/>
      <c r="Y15" s="56"/>
      <c r="Z15" s="56"/>
      <c r="AH15" s="1"/>
      <c r="AI15" s="1"/>
      <c r="AJ15" s="1"/>
    </row>
    <row r="16" spans="1:36" ht="12.95" customHeight="1" x14ac:dyDescent="0.2">
      <c r="A16" s="3">
        <v>512</v>
      </c>
      <c r="B16" s="79"/>
      <c r="C16" s="379" t="s">
        <v>23</v>
      </c>
      <c r="D16" s="379"/>
      <c r="E16" s="379"/>
      <c r="F16" s="119">
        <f>Eing_Rohstoffpreis_Biomasse*Eingesetzte_Brennstoffwärme_Biomasse</f>
        <v>97136.111111111124</v>
      </c>
      <c r="G16" s="360">
        <f t="shared" ref="G16:G23" si="0">Eing_allg_Teuerung/100</f>
        <v>0.01</v>
      </c>
      <c r="H16" s="80"/>
      <c r="I16" s="80"/>
      <c r="J16" s="115"/>
      <c r="K16" s="115"/>
      <c r="L16" s="115"/>
      <c r="M16" s="56"/>
      <c r="N16" s="56"/>
      <c r="O16" s="56"/>
      <c r="P16" s="56"/>
      <c r="Q16" s="56"/>
      <c r="R16" s="56"/>
      <c r="S16" s="56"/>
      <c r="T16" s="56"/>
      <c r="U16" s="56"/>
      <c r="V16" s="56"/>
      <c r="W16" s="56"/>
      <c r="X16" s="56"/>
      <c r="Y16" s="56"/>
      <c r="Z16" s="56"/>
      <c r="AA16" s="56"/>
      <c r="AH16" s="1"/>
      <c r="AI16" s="1"/>
      <c r="AJ16" s="1"/>
    </row>
    <row r="17" spans="1:36" ht="12.95" customHeight="1" x14ac:dyDescent="0.2">
      <c r="A17" s="3">
        <v>513</v>
      </c>
      <c r="B17" s="79"/>
      <c r="C17" s="379" t="s">
        <v>25</v>
      </c>
      <c r="D17" s="379"/>
      <c r="E17" s="379"/>
      <c r="F17" s="119">
        <f>Eingesetzte_Brennstoffwärme_fossil*Eing_Rohstoffpreis_fossil</f>
        <v>31166.666666666668</v>
      </c>
      <c r="G17" s="360">
        <f t="shared" si="0"/>
        <v>0.01</v>
      </c>
      <c r="H17" s="80"/>
      <c r="I17" s="80"/>
      <c r="J17" s="115"/>
      <c r="K17" s="115"/>
      <c r="L17" s="115"/>
      <c r="M17" s="56"/>
      <c r="N17" s="56"/>
      <c r="O17" s="56"/>
      <c r="P17" s="56"/>
      <c r="Q17" s="56"/>
      <c r="R17" s="56"/>
      <c r="S17" s="56"/>
      <c r="T17" s="56"/>
      <c r="U17" s="56"/>
      <c r="V17" s="56"/>
      <c r="W17" s="56"/>
      <c r="X17" s="56"/>
      <c r="Y17" s="56"/>
      <c r="Z17" s="56"/>
      <c r="AA17" s="56"/>
      <c r="AH17" s="1"/>
      <c r="AI17" s="1"/>
      <c r="AJ17" s="1"/>
    </row>
    <row r="18" spans="1:36" ht="12.95" customHeight="1" x14ac:dyDescent="0.2">
      <c r="A18" s="3">
        <v>514</v>
      </c>
      <c r="B18" s="79"/>
      <c r="C18" s="379" t="s">
        <v>12</v>
      </c>
      <c r="D18" s="379"/>
      <c r="E18" s="379"/>
      <c r="F18" s="119">
        <f>järhliche_Stromkosten</f>
        <v>6233.333333333333</v>
      </c>
      <c r="G18" s="360">
        <f t="shared" si="0"/>
        <v>0.01</v>
      </c>
      <c r="H18" s="80"/>
      <c r="I18" s="80"/>
      <c r="J18" s="115"/>
      <c r="K18" s="115"/>
      <c r="L18" s="115"/>
      <c r="N18" s="79"/>
      <c r="O18" s="79"/>
      <c r="P18" s="79"/>
      <c r="Q18" s="79"/>
      <c r="R18" s="119"/>
      <c r="S18" s="119"/>
      <c r="T18" s="120"/>
      <c r="U18" s="115"/>
      <c r="V18" s="115"/>
      <c r="W18" s="115"/>
      <c r="X18" s="115"/>
      <c r="Y18" s="115"/>
      <c r="Z18" s="115"/>
      <c r="AD18" s="8"/>
      <c r="AH18" s="1"/>
      <c r="AI18" s="1"/>
      <c r="AJ18" s="1"/>
    </row>
    <row r="19" spans="1:36" ht="12.95" customHeight="1" x14ac:dyDescent="0.2">
      <c r="A19" s="3">
        <v>515</v>
      </c>
      <c r="B19" s="79"/>
      <c r="C19" s="379" t="s">
        <v>99</v>
      </c>
      <c r="D19" s="379"/>
      <c r="E19" s="379"/>
      <c r="F19" s="119">
        <f>Eing_Betriebskosten</f>
        <v>6000</v>
      </c>
      <c r="G19" s="360">
        <f t="shared" si="0"/>
        <v>0.01</v>
      </c>
      <c r="H19" s="80"/>
      <c r="I19" s="80"/>
      <c r="J19" s="115"/>
      <c r="K19" s="115"/>
      <c r="L19" s="115"/>
      <c r="M19" s="121"/>
      <c r="N19" s="111"/>
      <c r="O19" s="79"/>
      <c r="P19" s="79"/>
      <c r="Q19" s="79"/>
      <c r="R19" s="79"/>
      <c r="S19" s="79"/>
      <c r="AH19" s="1"/>
      <c r="AI19" s="1"/>
      <c r="AJ19" s="1"/>
    </row>
    <row r="20" spans="1:36" ht="12.95" customHeight="1" x14ac:dyDescent="0.2">
      <c r="A20" s="3">
        <v>516</v>
      </c>
      <c r="B20" s="79"/>
      <c r="C20" s="379" t="s">
        <v>103</v>
      </c>
      <c r="D20" s="379"/>
      <c r="E20" s="379"/>
      <c r="F20" s="119">
        <f>Eing_Administration</f>
        <v>12000</v>
      </c>
      <c r="G20" s="360">
        <f>Eing_allg_Teuerung/100</f>
        <v>0.01</v>
      </c>
      <c r="H20" s="80"/>
      <c r="I20" s="80"/>
      <c r="J20" s="115"/>
      <c r="K20" s="115"/>
      <c r="L20" s="115"/>
      <c r="M20" s="122"/>
      <c r="N20" s="79"/>
      <c r="O20" s="79"/>
      <c r="P20" s="79"/>
      <c r="Q20" s="79"/>
      <c r="R20" s="123"/>
      <c r="S20" s="123"/>
      <c r="T20" s="124"/>
      <c r="U20" s="125"/>
      <c r="V20" s="125"/>
      <c r="W20" s="125"/>
      <c r="X20" s="125"/>
      <c r="Y20" s="125"/>
      <c r="Z20" s="125"/>
      <c r="AH20" s="1"/>
      <c r="AI20" s="1"/>
      <c r="AJ20" s="1"/>
    </row>
    <row r="21" spans="1:36" ht="12.95" customHeight="1" x14ac:dyDescent="0.2">
      <c r="A21" s="3">
        <v>517</v>
      </c>
      <c r="B21" s="79"/>
      <c r="C21" s="379" t="s">
        <v>98</v>
      </c>
      <c r="D21" s="379"/>
      <c r="E21" s="379"/>
      <c r="F21" s="119">
        <f>Eing_Unterhaltskosten</f>
        <v>23900</v>
      </c>
      <c r="G21" s="360">
        <f t="shared" si="0"/>
        <v>0.01</v>
      </c>
      <c r="H21" s="80"/>
      <c r="I21" s="80"/>
      <c r="J21" s="115"/>
      <c r="K21" s="115"/>
      <c r="L21" s="115"/>
      <c r="M21" s="79"/>
      <c r="N21" s="79"/>
      <c r="O21" s="79"/>
      <c r="P21" s="79"/>
      <c r="Q21" s="79"/>
      <c r="R21" s="123"/>
      <c r="S21" s="123"/>
      <c r="U21" s="125"/>
      <c r="V21" s="125"/>
      <c r="W21" s="125"/>
      <c r="X21" s="125"/>
      <c r="Y21" s="125"/>
      <c r="Z21" s="125"/>
      <c r="AH21" s="1"/>
      <c r="AI21" s="1"/>
      <c r="AJ21" s="1"/>
    </row>
    <row r="22" spans="1:36" ht="12.95" customHeight="1" x14ac:dyDescent="0.2">
      <c r="A22" s="3">
        <v>518</v>
      </c>
      <c r="B22" s="79"/>
      <c r="C22" s="379" t="s">
        <v>29</v>
      </c>
      <c r="D22" s="379"/>
      <c r="E22" s="379"/>
      <c r="F22" s="119">
        <f>Eing_Kosten_Grundstück</f>
        <v>1000</v>
      </c>
      <c r="G22" s="360">
        <f t="shared" si="0"/>
        <v>0.01</v>
      </c>
      <c r="H22" s="80"/>
      <c r="I22" s="80"/>
      <c r="J22" s="115"/>
      <c r="K22" s="115"/>
      <c r="L22" s="115"/>
      <c r="M22" s="79"/>
      <c r="N22" s="79"/>
      <c r="O22" s="79"/>
      <c r="P22" s="79"/>
      <c r="Q22" s="79"/>
      <c r="R22" s="123"/>
      <c r="S22" s="123"/>
      <c r="T22" s="124"/>
      <c r="U22" s="125"/>
      <c r="V22" s="125"/>
      <c r="W22" s="125"/>
      <c r="X22" s="125"/>
      <c r="Y22" s="125"/>
      <c r="Z22" s="125"/>
      <c r="AA22" s="8"/>
      <c r="AB22" s="8"/>
      <c r="AC22" s="8"/>
      <c r="AH22" s="1"/>
      <c r="AI22" s="1"/>
      <c r="AJ22" s="1"/>
    </row>
    <row r="23" spans="1:36" ht="12.95" customHeight="1" x14ac:dyDescent="0.2">
      <c r="A23" s="3">
        <v>519</v>
      </c>
      <c r="B23" s="79"/>
      <c r="C23" s="379" t="s">
        <v>30</v>
      </c>
      <c r="D23" s="379"/>
      <c r="E23" s="379"/>
      <c r="F23" s="119">
        <f>Eing_Sonstige_Kosten</f>
        <v>16400</v>
      </c>
      <c r="G23" s="360">
        <f t="shared" si="0"/>
        <v>0.01</v>
      </c>
      <c r="H23" s="80"/>
      <c r="I23" s="80"/>
      <c r="J23" s="115"/>
      <c r="K23" s="115"/>
      <c r="L23" s="115"/>
      <c r="M23" s="79"/>
      <c r="N23" s="79"/>
      <c r="O23" s="79"/>
      <c r="P23" s="79"/>
      <c r="Q23" s="79"/>
      <c r="R23" s="123"/>
      <c r="S23" s="123"/>
      <c r="T23" s="125"/>
      <c r="U23" s="125"/>
      <c r="V23" s="125"/>
      <c r="W23" s="125"/>
      <c r="X23" s="125"/>
      <c r="Y23" s="125"/>
      <c r="Z23" s="125"/>
      <c r="AH23" s="1"/>
      <c r="AI23" s="1"/>
      <c r="AJ23" s="1"/>
    </row>
    <row r="24" spans="1:36" ht="12.95" customHeight="1" x14ac:dyDescent="0.2">
      <c r="A24" s="3">
        <v>520</v>
      </c>
      <c r="B24" s="111" t="s">
        <v>92</v>
      </c>
      <c r="C24" s="79"/>
      <c r="D24" s="79"/>
      <c r="E24" s="79"/>
      <c r="F24" s="119"/>
      <c r="G24" s="360">
        <f>G15</f>
        <v>0.01</v>
      </c>
      <c r="H24" s="80"/>
      <c r="I24" s="126"/>
      <c r="J24" s="118"/>
      <c r="K24" s="115"/>
      <c r="L24" s="115"/>
      <c r="M24" s="80"/>
      <c r="N24" s="80"/>
      <c r="O24" s="80"/>
      <c r="P24" s="80"/>
      <c r="Q24" s="80"/>
      <c r="R24" s="80"/>
      <c r="S24" s="80"/>
      <c r="T24" s="56"/>
      <c r="U24" s="56"/>
      <c r="V24" s="56"/>
      <c r="W24" s="56"/>
      <c r="X24" s="56"/>
      <c r="Y24" s="56"/>
      <c r="Z24" s="56"/>
      <c r="AA24" s="56"/>
      <c r="AH24" s="1"/>
      <c r="AI24" s="1"/>
      <c r="AJ24" s="1"/>
    </row>
    <row r="25" spans="1:36" ht="12.95" customHeight="1" x14ac:dyDescent="0.2">
      <c r="A25" s="10"/>
      <c r="B25" s="111"/>
      <c r="C25" s="79"/>
      <c r="D25" s="79"/>
      <c r="E25" s="79"/>
      <c r="F25" s="119"/>
      <c r="G25" s="117"/>
      <c r="H25" s="80"/>
      <c r="I25" s="80"/>
      <c r="J25" s="118"/>
      <c r="K25" s="115"/>
      <c r="L25" s="115"/>
      <c r="M25" s="80"/>
      <c r="N25" s="80"/>
      <c r="O25" s="80"/>
      <c r="P25" s="80"/>
      <c r="Q25" s="80"/>
      <c r="R25" s="80"/>
      <c r="S25" s="80"/>
      <c r="T25" s="56"/>
      <c r="U25" s="56"/>
      <c r="V25" s="56"/>
      <c r="W25" s="56"/>
      <c r="X25" s="56"/>
      <c r="Y25" s="56"/>
      <c r="Z25" s="56"/>
      <c r="AA25" s="56"/>
      <c r="AH25" s="1"/>
      <c r="AI25" s="1"/>
      <c r="AJ25" s="1"/>
    </row>
    <row r="26" spans="1:36" ht="12.95" customHeight="1" x14ac:dyDescent="0.2">
      <c r="A26" s="3">
        <v>530</v>
      </c>
      <c r="B26" s="10" t="s">
        <v>210</v>
      </c>
      <c r="E26" s="65" t="s">
        <v>211</v>
      </c>
      <c r="F26" s="1">
        <f>Eing_Beginnjahr</f>
        <v>2022</v>
      </c>
      <c r="I26" s="124"/>
      <c r="T26" s="124"/>
      <c r="AH26" s="1"/>
      <c r="AI26" s="1"/>
      <c r="AJ26" s="1"/>
    </row>
    <row r="27" spans="1:36" ht="12.95" customHeight="1" x14ac:dyDescent="0.2">
      <c r="A27" s="3">
        <v>190</v>
      </c>
      <c r="C27" s="381" t="s">
        <v>232</v>
      </c>
      <c r="D27" s="381"/>
      <c r="E27" s="381"/>
      <c r="F27" s="8">
        <f>Gesamtinvestition</f>
        <v>1635000</v>
      </c>
      <c r="G27" s="1" t="s">
        <v>42</v>
      </c>
      <c r="I27" s="124"/>
      <c r="T27" s="124"/>
      <c r="AH27" s="1"/>
      <c r="AI27" s="1"/>
      <c r="AJ27" s="1"/>
    </row>
    <row r="28" spans="1:36" ht="12.95" customHeight="1" x14ac:dyDescent="0.2">
      <c r="A28" s="3">
        <v>191</v>
      </c>
      <c r="C28" s="381" t="s">
        <v>212</v>
      </c>
      <c r="D28" s="381"/>
      <c r="E28" s="381"/>
      <c r="F28" s="8">
        <f>E1_Projektdaten!D95</f>
        <v>359000</v>
      </c>
      <c r="G28" s="1" t="s">
        <v>42</v>
      </c>
      <c r="H28" s="65"/>
      <c r="I28" s="127"/>
      <c r="AH28" s="1"/>
      <c r="AI28" s="1"/>
      <c r="AJ28" s="1"/>
    </row>
    <row r="29" spans="1:36" ht="12.95" customHeight="1" x14ac:dyDescent="0.2">
      <c r="A29" s="3">
        <v>531</v>
      </c>
      <c r="C29" s="381" t="s">
        <v>320</v>
      </c>
      <c r="D29" s="381"/>
      <c r="E29" s="381"/>
      <c r="F29" s="8">
        <f>-MIN(AB36:AB60)</f>
        <v>684972.44168055546</v>
      </c>
      <c r="G29" s="128" t="s">
        <v>42</v>
      </c>
      <c r="H29" s="65" t="s">
        <v>213</v>
      </c>
      <c r="I29" s="129">
        <f>VLOOKUP(-maxEigenkapital,AB36:AH60,7,0)</f>
        <v>2024</v>
      </c>
      <c r="J29" s="129"/>
      <c r="K29" s="130"/>
      <c r="L29" s="130"/>
      <c r="M29" s="56"/>
      <c r="N29" s="56"/>
      <c r="O29" s="56"/>
      <c r="P29" s="56"/>
      <c r="Q29" s="56"/>
      <c r="R29" s="56"/>
      <c r="S29" s="56"/>
      <c r="T29" s="56"/>
      <c r="U29" s="56"/>
      <c r="V29" s="56"/>
      <c r="W29" s="56"/>
      <c r="X29" s="56"/>
      <c r="Y29" s="56"/>
      <c r="Z29" s="56"/>
      <c r="AA29" s="56"/>
      <c r="AH29" s="1"/>
      <c r="AI29" s="1"/>
      <c r="AJ29" s="1"/>
    </row>
    <row r="30" spans="1:36" ht="12.95" customHeight="1" x14ac:dyDescent="0.2">
      <c r="A30" s="13"/>
      <c r="C30" s="65"/>
      <c r="D30" s="65"/>
      <c r="E30" s="65"/>
      <c r="F30" s="8"/>
      <c r="G30" s="65"/>
      <c r="H30" s="65"/>
      <c r="I30" s="129"/>
      <c r="J30" s="129"/>
      <c r="K30" s="130"/>
      <c r="L30" s="130"/>
      <c r="M30" s="56"/>
      <c r="N30" s="56"/>
      <c r="O30" s="56"/>
      <c r="P30" s="56"/>
      <c r="Q30" s="56"/>
      <c r="R30" s="56"/>
      <c r="S30" s="56"/>
      <c r="T30" s="56"/>
      <c r="U30" s="56"/>
      <c r="V30" s="56"/>
      <c r="W30" s="56"/>
      <c r="X30" s="56"/>
      <c r="Y30" s="56"/>
      <c r="Z30" s="56"/>
      <c r="AA30" s="56"/>
      <c r="AH30" s="1"/>
      <c r="AI30" s="1"/>
      <c r="AJ30" s="1"/>
    </row>
    <row r="31" spans="1:36" ht="12.95" customHeight="1" x14ac:dyDescent="0.2">
      <c r="A31" s="3">
        <v>550</v>
      </c>
      <c r="E31" s="131" t="s">
        <v>111</v>
      </c>
      <c r="P31" s="131" t="s">
        <v>112</v>
      </c>
      <c r="V31" s="131" t="s">
        <v>351</v>
      </c>
      <c r="X31" s="131" t="s">
        <v>354</v>
      </c>
      <c r="Y31" s="10"/>
      <c r="Z31" s="10"/>
      <c r="AA31" s="131" t="s">
        <v>358</v>
      </c>
      <c r="AD31" s="132"/>
      <c r="AH31" s="1"/>
      <c r="AI31" s="1"/>
      <c r="AJ31" s="1"/>
    </row>
    <row r="32" spans="1:36" ht="6.75" customHeight="1" x14ac:dyDescent="0.2">
      <c r="E32" s="133"/>
      <c r="N32" s="10"/>
      <c r="P32" s="134"/>
      <c r="V32" s="134"/>
      <c r="X32" s="134"/>
      <c r="AA32" s="134"/>
      <c r="AD32" s="134"/>
      <c r="AH32" s="1"/>
      <c r="AI32" s="1"/>
      <c r="AJ32" s="1"/>
    </row>
    <row r="33" spans="1:36" ht="70.5" customHeight="1" x14ac:dyDescent="0.2">
      <c r="A33" s="13"/>
      <c r="B33" s="135" t="s">
        <v>11</v>
      </c>
      <c r="C33" s="136" t="s">
        <v>400</v>
      </c>
      <c r="D33" s="137" t="s">
        <v>33</v>
      </c>
      <c r="E33" s="138" t="s">
        <v>23</v>
      </c>
      <c r="F33" s="139" t="s">
        <v>25</v>
      </c>
      <c r="G33" s="140" t="s">
        <v>12</v>
      </c>
      <c r="H33" s="139" t="s">
        <v>214</v>
      </c>
      <c r="I33" s="139" t="s">
        <v>114</v>
      </c>
      <c r="J33" s="139" t="s">
        <v>38</v>
      </c>
      <c r="K33" s="357" t="s">
        <v>115</v>
      </c>
      <c r="L33" s="139" t="s">
        <v>83</v>
      </c>
      <c r="M33" s="136" t="s">
        <v>360</v>
      </c>
      <c r="N33" s="141" t="s">
        <v>359</v>
      </c>
      <c r="O33" s="142" t="s">
        <v>116</v>
      </c>
      <c r="P33" s="143" t="s">
        <v>215</v>
      </c>
      <c r="Q33" s="139" t="s">
        <v>216</v>
      </c>
      <c r="R33" s="357" t="s">
        <v>350</v>
      </c>
      <c r="S33" s="357" t="s">
        <v>117</v>
      </c>
      <c r="T33" s="144" t="s">
        <v>118</v>
      </c>
      <c r="U33" s="142" t="s">
        <v>281</v>
      </c>
      <c r="V33" s="145" t="s">
        <v>352</v>
      </c>
      <c r="W33" s="142" t="s">
        <v>353</v>
      </c>
      <c r="X33" s="141" t="s">
        <v>355</v>
      </c>
      <c r="Y33" s="146" t="s">
        <v>356</v>
      </c>
      <c r="Z33" s="136" t="s">
        <v>357</v>
      </c>
      <c r="AA33" s="138" t="s">
        <v>358</v>
      </c>
      <c r="AB33" s="137" t="s">
        <v>361</v>
      </c>
      <c r="AC33" s="147"/>
      <c r="AD33" s="143" t="s">
        <v>217</v>
      </c>
      <c r="AE33" s="139" t="s">
        <v>218</v>
      </c>
      <c r="AF33" s="137" t="s">
        <v>219</v>
      </c>
      <c r="AG33" s="148" t="s">
        <v>363</v>
      </c>
      <c r="AH33" s="149" t="s">
        <v>11</v>
      </c>
      <c r="AI33" s="56"/>
      <c r="AJ33" s="56"/>
    </row>
    <row r="34" spans="1:36" s="150" customFormat="1" ht="12.95" customHeight="1" x14ac:dyDescent="0.25">
      <c r="B34" s="151">
        <v>551</v>
      </c>
      <c r="C34" s="152">
        <v>552</v>
      </c>
      <c r="D34" s="153">
        <v>553</v>
      </c>
      <c r="E34" s="154">
        <v>554</v>
      </c>
      <c r="F34" s="155">
        <v>555</v>
      </c>
      <c r="G34" s="156">
        <v>556</v>
      </c>
      <c r="H34" s="155">
        <v>557</v>
      </c>
      <c r="I34" s="155">
        <v>558</v>
      </c>
      <c r="J34" s="156">
        <v>559</v>
      </c>
      <c r="K34" s="156">
        <v>560</v>
      </c>
      <c r="L34" s="156">
        <v>561</v>
      </c>
      <c r="M34" s="157">
        <v>562</v>
      </c>
      <c r="N34" s="158">
        <v>563</v>
      </c>
      <c r="O34" s="159">
        <v>564</v>
      </c>
      <c r="P34" s="151">
        <v>571</v>
      </c>
      <c r="Q34" s="155">
        <v>572</v>
      </c>
      <c r="R34" s="157">
        <v>573</v>
      </c>
      <c r="S34" s="155">
        <v>574</v>
      </c>
      <c r="T34" s="160">
        <v>575</v>
      </c>
      <c r="U34" s="159">
        <v>576</v>
      </c>
      <c r="V34" s="161">
        <v>577</v>
      </c>
      <c r="W34" s="162">
        <v>578</v>
      </c>
      <c r="X34" s="156">
        <v>580</v>
      </c>
      <c r="Y34" s="163">
        <v>581</v>
      </c>
      <c r="Z34" s="164">
        <v>582</v>
      </c>
      <c r="AA34" s="165">
        <v>583</v>
      </c>
      <c r="AB34" s="166">
        <v>584</v>
      </c>
      <c r="AC34" s="167"/>
      <c r="AD34" s="168">
        <v>586</v>
      </c>
      <c r="AE34" s="169">
        <v>587</v>
      </c>
      <c r="AF34" s="170">
        <v>588</v>
      </c>
      <c r="AG34" s="170">
        <v>589</v>
      </c>
      <c r="AH34" s="171">
        <v>551</v>
      </c>
    </row>
    <row r="35" spans="1:36" ht="12.95" customHeight="1" x14ac:dyDescent="0.2">
      <c r="B35" s="172" t="s">
        <v>32</v>
      </c>
      <c r="C35" s="173" t="s">
        <v>14</v>
      </c>
      <c r="D35" s="174" t="s">
        <v>13</v>
      </c>
      <c r="E35" s="172" t="s">
        <v>43</v>
      </c>
      <c r="F35" s="175" t="s">
        <v>43</v>
      </c>
      <c r="G35" s="176" t="s">
        <v>43</v>
      </c>
      <c r="H35" s="176" t="s">
        <v>43</v>
      </c>
      <c r="I35" s="176" t="s">
        <v>43</v>
      </c>
      <c r="J35" s="176" t="s">
        <v>43</v>
      </c>
      <c r="K35" s="176" t="s">
        <v>43</v>
      </c>
      <c r="L35" s="176" t="s">
        <v>43</v>
      </c>
      <c r="M35" s="176" t="s">
        <v>43</v>
      </c>
      <c r="N35" s="176" t="s">
        <v>43</v>
      </c>
      <c r="O35" s="177" t="s">
        <v>43</v>
      </c>
      <c r="P35" s="172" t="s">
        <v>43</v>
      </c>
      <c r="Q35" s="176" t="s">
        <v>43</v>
      </c>
      <c r="R35" s="176" t="s">
        <v>43</v>
      </c>
      <c r="S35" s="176" t="s">
        <v>43</v>
      </c>
      <c r="T35" s="178" t="s">
        <v>43</v>
      </c>
      <c r="U35" s="177" t="s">
        <v>43</v>
      </c>
      <c r="V35" s="179" t="s">
        <v>43</v>
      </c>
      <c r="W35" s="177" t="s">
        <v>43</v>
      </c>
      <c r="X35" s="176" t="s">
        <v>43</v>
      </c>
      <c r="Y35" s="180"/>
      <c r="Z35" s="173"/>
      <c r="AA35" s="172" t="s">
        <v>43</v>
      </c>
      <c r="AB35" s="174" t="s">
        <v>42</v>
      </c>
      <c r="AC35" s="181"/>
      <c r="AD35" s="182"/>
      <c r="AE35" s="176" t="s">
        <v>42</v>
      </c>
      <c r="AF35" s="174" t="s">
        <v>42</v>
      </c>
      <c r="AG35" s="174" t="s">
        <v>13</v>
      </c>
      <c r="AH35" s="183" t="s">
        <v>32</v>
      </c>
      <c r="AI35" s="1"/>
      <c r="AJ35" s="1"/>
    </row>
    <row r="36" spans="1:36" ht="12.95" customHeight="1" x14ac:dyDescent="0.2">
      <c r="B36" s="184">
        <f>Eing_Beginnjahr</f>
        <v>2022</v>
      </c>
      <c r="C36" s="185">
        <f>(SUMPRODUCT((E3_Verbraucher!$D$21:$XFD$21&lt;B1_Berechnungen!B36)*E3_Verbraucher!$D$18:$XFD$18)+SUMPRODUCT((E3_Verbraucher!$D$21:$XFD$21=B1_Berechnungen!B36)*E3_Verbraucher!$D$18:$XFD$18*E3_Verbraucher!$D$20:$XFD$20))/(100-Eing_Netzverluste)*100*(1-E1_Projektdaten!$D$19/100)^(B1_Berechnungen!B36-E1_Projektdaten!$D$22)</f>
        <v>0</v>
      </c>
      <c r="D36" s="186">
        <f t="shared" ref="D36:D60" si="1">IF(Erzeugte_Wärmemenge=0,0,C36/Erzeugte_Wärmemenge*100)</f>
        <v>0</v>
      </c>
      <c r="E36" s="187">
        <f t="shared" ref="E36:E60" si="2">Eingesetzte_Brennstoffwärme_Biomasse*D36/100*Eing_Rohstoffpreis_Biomasse*((1+$G$16)^(B36-$B$36))</f>
        <v>0</v>
      </c>
      <c r="F36" s="188">
        <f t="shared" ref="F36:F60" si="3">Eingesetzte_Brennstoffwärme_fossil*Eing_Rohstoffpreis_fossil*D36/100*(1+$G$17)^(B36-$B$36)</f>
        <v>0</v>
      </c>
      <c r="G36" s="188">
        <f t="shared" ref="G36:G60" si="4">Eing_Spez_Stromverbrauch*10*C36*Eing_Strompreis*(1+$G$18)^(B36-B$36)</f>
        <v>0</v>
      </c>
      <c r="H36" s="188">
        <f>($F$19*(1+$G$19)^(B36-B$36)+$F$20*(1+$G$20)^(B36-B$36))*(B36&gt;=E1_Projektdaten!$D$22)*VLOOKUP(B36,E1_Projektdaten!$D$58:$I$60,6)/100</f>
        <v>0</v>
      </c>
      <c r="I36" s="188">
        <f>$F$21*(1+$G$21)^(B36-B$36)*(B36&gt;=E1_Projektdaten!$D$22)*VLOOKUP(B36,E1_Projektdaten!$D$58:$I$60,6)/100</f>
        <v>0</v>
      </c>
      <c r="J36" s="189">
        <f>Eing_Kosten_Grundstück+Eing_Sonstige_Kosten</f>
        <v>17400</v>
      </c>
      <c r="K36" s="190"/>
      <c r="L36" s="191"/>
      <c r="M36" s="185">
        <f t="shared" ref="M36:M60" si="5">-IF(Eing_Kreditlaufzeit_1=0,(B36&gt;=Eing_Kreditstartjahr_1)*-Eing_Kredit_1,(-Eing_Kredit_1+(Eing_Kredit_1/Eing_Kreditlaufzeit_1)*(B36-Eing_Kreditstartjahr_1))*(Eing_Kreditlaufzeit_1&gt;B36-Eing_Kreditstartjahr_1)*(B36&gt;=Eing_Kreditstartjahr_1))*Eing_Kreditzinssatz_1/100-IF(Eing_Kreditlaufzeit_2=0,(B36&gt;=Eing_Kreditstartjahr_2)*-Eing_Kredit_2,(-Eing_Kredit_2+(Eing_Kredit_2/Eing_Kreditlaufzeit_2)*(B36-Eing_Kreditstartjahr_2))*(Eing_Kreditlaufzeit_2&gt;B36-Eing_Kreditstartjahr_2)*(B36&gt;=Eing_Kreditstartjahr_2))*Eing_Kreditzinssatz_2/100</f>
        <v>25000</v>
      </c>
      <c r="N36" s="188">
        <f>+(E1_Projektdaten!$D$48*(1+Eing_allg_Teuerung/100)^(E1_Projektdaten!$I$48*ROUNDDOWN((AD36-1)/E1_Projektdaten!$I$48,0))/E1_Projektdaten!$I$48
+E1_Projektdaten!$D$49*(1+Eing_allg_Teuerung/100)^(E1_Projektdaten!$I$49*ROUNDDOWN((AD36-1)/E1_Projektdaten!$I$49,0))/E1_Projektdaten!$I$49
+E1_Projektdaten!$D$50*(1+Eing_allg_Teuerung/100)^(E1_Projektdaten!$I$50*ROUNDDOWN((AD36-1)/E1_Projektdaten!$I$50,0))/E1_Projektdaten!$I$50
+E1_Projektdaten!$D$51*(1+Eing_allg_Teuerung/100)^(E1_Projektdaten!$I$51*ROUNDDOWN((AD36-1)/E1_Projektdaten!$I$51,0))/E1_Projektdaten!$I$51
+E1_Projektdaten!$D$52*(1+Eing_allg_Teuerung/100)^(E1_Projektdaten!$I$52*ROUNDDOWN((AD36-1)/E1_Projektdaten!$I$52,0))/E1_Projektdaten!$I$52
+E1_Projektdaten!$D$53*(1+Eing_allg_Teuerung/100)^(E1_Projektdaten!$I$53*ROUNDDOWN((AD36-1)/E1_Projektdaten!$I$53,0))/E1_Projektdaten!$I$53
)*((AD36)&gt;0)*VLOOKUP(B36,E1_Projektdaten!$D$58:$I$60,6
)/100</f>
        <v>0</v>
      </c>
      <c r="O36" s="192">
        <f>IF(L36,SUM(L36:N36),SUM(E36:N36))</f>
        <v>42400</v>
      </c>
      <c r="P36" s="187">
        <f>SUM((SUMPRODUCT((E3_Verbraucher!$D$21:$XFD$21&lt;B1_Berechnungen!B36)*E3_Verbraucher!$D$25:$XFD$25)+SUMPRODUCT((E3_Verbraucher!$D$21:$XFD$21=B1_Berechnungen!B36)*E3_Verbraucher!$D$25:$XFD$25*E3_Verbraucher!$D$20:$XFD$20))*(1+$G$24)^(B36-B$36),(SUMPRODUCT((E3_Verbraucher!$D$21:$XFD$21&lt;B1_Berechnungen!B36)*E3_Verbraucher!$D$26:$XFD$26)+SUMPRODUCT((E3_Verbraucher!$D$21:$XFD$21=B1_Berechnungen!B36)*E3_Verbraucher!$D$26:$XFD$26*E3_Verbraucher!$D$20:$XFD$20))*((1+$G$24)*(1-E1_Projektdaten!$D$19/100))^(B36-B$36))</f>
        <v>0</v>
      </c>
      <c r="Q36" s="189">
        <f>SUMPRODUCT((E3_Verbraucher!$D$21:$XFD$21&lt;=B1_Berechnungen!B36)*E3_Verbraucher!$D$23:$XFD$23)</f>
        <v>0</v>
      </c>
      <c r="R36" s="358">
        <f>SUM(jährlicher_Förderbeitrag*(B36-Erstauszahlung_jährlFörderung&lt;=Eing_Förderung_wiederholend_Laufzeit-1)*(B36&gt;=E1_Projektdaten!$D$83),E1_Projektdaten!$D$76*(B36=E1_Projektdaten!$D$77),E1_Projektdaten!$D$78*(B36=E1_Projektdaten!$D$79))</f>
        <v>0</v>
      </c>
      <c r="S36" s="190"/>
      <c r="T36" s="193"/>
      <c r="U36" s="194">
        <f>IF(T36,T36,SUM(P36:S36))</f>
        <v>0</v>
      </c>
      <c r="V36" s="195">
        <f>U36-O36</f>
        <v>-42400</v>
      </c>
      <c r="W36" s="194">
        <f>V36</f>
        <v>-42400</v>
      </c>
      <c r="X36" s="188">
        <f>E1_Projektdaten!$D$48*(AD36-1=E1_Projektdaten!$I$48)*(1+Eing_allg_Teuerung/100)^E1_Projektdaten!$I$48
+E1_Projektdaten!$D$49*(AD36-1=E1_Projektdaten!$I$49)*(1+Eing_allg_Teuerung/100)^E1_Projektdaten!$I$49
+E1_Projektdaten!$D$50*(AD36-1=E1_Projektdaten!$I$50)*(1+Eing_allg_Teuerung/100)^E1_Projektdaten!$I$50
+E1_Projektdaten!$D$51*(AD36-1=E1_Projektdaten!$I$51)*(1+Eing_allg_Teuerung/100)^E1_Projektdaten!$I$51
+E1_Projektdaten!$D$52*(AD36-1=E1_Projektdaten!$I$52)*(1+Eing_allg_Teuerung/100)^E1_Projektdaten!$I$52
+E1_Projektdaten!$D$53*(AD36-1=E1_Projektdaten!$I$53)*(1+Eing_allg_Teuerung/100)^E1_Projektdaten!$I$53
+Gesamtinvestition*SUMPRODUCT((E1_Projektdaten!$D$58:$D$60=B36)*E1_Projektdaten!$F$58:$F$60)/100</f>
        <v>327000</v>
      </c>
      <c r="Y36" s="196">
        <f t="shared" ref="Y36:Y60" si="6">Eing_Kredit_1*(B36=Eing_Kreditstartjahr_1)+Eing_Kredit_2*(B36=Eing_Kreditstartjahr_2)</f>
        <v>1000000</v>
      </c>
      <c r="Z36" s="185">
        <f t="shared" ref="Z36:Z60" si="7">IF(Eing_Kreditlaufzeit_1&lt;&gt;0,(Eing_Kredit_1/Eing_Kreditlaufzeit_1)*(Eing_Kreditlaufzeit_1&gt;B36-1-Eing_Kreditstartjahr_1)*(B36&gt;Eing_Kreditstartjahr_1))
+IF(Eing_Kreditlaufzeit_2&lt;&gt;0,(Eing_Kredit_2/Eing_Kreditlaufzeit_2)*(Eing_Kreditlaufzeit_2&gt;B36-1-Eing_Kreditstartjahr_2)*(B36&gt;Eing_Kreditstartjahr_2))</f>
        <v>0</v>
      </c>
      <c r="AA36" s="187">
        <f>U36-(O36-N36)-X36-Z36+Y36</f>
        <v>630600</v>
      </c>
      <c r="AB36" s="197">
        <f>AA36</f>
        <v>630600</v>
      </c>
      <c r="AC36" s="198"/>
      <c r="AD36" s="199">
        <f>MAX(B1_Berechnungen!B36+1-E1_Projektdaten!$D$22,0)</f>
        <v>0</v>
      </c>
      <c r="AE36" s="200">
        <f t="shared" ref="AE36:AE60" si="8">IF(Eing_Kreditlaufzeit_1=0,(B36&gt;=Eing_Kreditstartjahr_1)*-Eing_Kredit_1,(-Eing_Kredit_1+(Eing_Kredit_1/Eing_Kreditlaufzeit_1)*(B36-Eing_Kreditstartjahr_1))*(Eing_Kreditlaufzeit_1&gt;B36-Eing_Kreditstartjahr_1)*(B36&gt;=Eing_Kreditstartjahr_1))+IF(Eing_Kreditlaufzeit_2=0,(B36&gt;=Eing_Kreditstartjahr_2)*-Eing_Kredit_2,(-Eing_Kredit_2+(Eing_Kredit_2/Eing_Kreditlaufzeit_2)*(B36-Eing_Kreditstartjahr_2))*(Eing_Kreditlaufzeit_2&gt;B36-Eing_Kreditstartjahr_2)*(B36&gt;=Eing_Kreditstartjahr_2))</f>
        <v>-1000000</v>
      </c>
      <c r="AF36" s="201">
        <f>E1_Projektdaten!$D$48*(AD36-1=E1_Projektdaten!$I$48)*(1+Eing_allg_Teuerung/100)^E1_Projektdaten!$I$48
+E1_Projektdaten!$D$49*(AD36-1=E1_Projektdaten!$I$49)*(1+Eing_allg_Teuerung/100)^E1_Projektdaten!$I$49
+E1_Projektdaten!$D$50*(AD36-1=E1_Projektdaten!$I$50)*(1+Eing_allg_Teuerung/100)^E1_Projektdaten!$I$50
+E1_Projektdaten!$D$51*(AD36-1=E1_Projektdaten!$I$51)*(1+Eing_allg_Teuerung/100)^E1_Projektdaten!$I$51
+E1_Projektdaten!$D$52*(AD36-1=E1_Projektdaten!$I$52)*(1+Eing_allg_Teuerung/100)^E1_Projektdaten!$I$52
+E1_Projektdaten!$D$53*(AD36-1=E1_Projektdaten!$I$53)*(1+Eing_allg_Teuerung/100)^E1_Projektdaten!$I$53
+(Gesamtinvestition-SUM(E1_Projektdaten!$D$54:$D$55))*SUMPRODUCT((E1_Projektdaten!$D$58:$D$60=B36)*E1_Projektdaten!$F$58:$F$60)/100-N36</f>
        <v>284000</v>
      </c>
      <c r="AG36" s="202" t="str">
        <f>IF(ISNUMBER(IRR(AI36)),IRR(AI36),"-")</f>
        <v>-</v>
      </c>
      <c r="AH36" s="203">
        <f t="shared" ref="AH36:AH60" si="9">B36</f>
        <v>2022</v>
      </c>
      <c r="AI36" s="204">
        <f>SUM(-$X36,$V36,$N36,AF36)</f>
        <v>-85400</v>
      </c>
      <c r="AJ36" s="204">
        <f>SUM(-$X36,$V36,$N36)</f>
        <v>-369400</v>
      </c>
    </row>
    <row r="37" spans="1:36" ht="12.95" customHeight="1" x14ac:dyDescent="0.2">
      <c r="B37" s="184">
        <f>B36+1</f>
        <v>2023</v>
      </c>
      <c r="C37" s="205">
        <f>(SUMPRODUCT((E3_Verbraucher!$D$21:$XFD$21&lt;B1_Berechnungen!B37)*E3_Verbraucher!$D$18:$XFD$18)+SUMPRODUCT((E3_Verbraucher!$D$21:$XFD$21=B1_Berechnungen!B37)*E3_Verbraucher!$D$18:$XFD$18*E3_Verbraucher!$D$20:$XFD$20))/(100-Eing_Netzverluste)*100*(1-E1_Projektdaten!$D$19/100)^(B1_Berechnungen!B37-E1_Projektdaten!$D$22)</f>
        <v>0</v>
      </c>
      <c r="D37" s="186">
        <f t="shared" si="1"/>
        <v>0</v>
      </c>
      <c r="E37" s="187">
        <f t="shared" si="2"/>
        <v>0</v>
      </c>
      <c r="F37" s="188">
        <f t="shared" si="3"/>
        <v>0</v>
      </c>
      <c r="G37" s="188">
        <f t="shared" si="4"/>
        <v>0</v>
      </c>
      <c r="H37" s="188">
        <f>($F$19*(1+$G$19)^(B37-B$36)+$F$20*(1+$G$20)^(B37-B$36))*(B37&gt;=E1_Projektdaten!$D$22)*VLOOKUP(B37,E1_Projektdaten!$D$58:$I$60,6)/100</f>
        <v>0</v>
      </c>
      <c r="I37" s="188">
        <f>$F$21*(1+$G$21)^(B37-B$36)*(B37&gt;=E1_Projektdaten!$D$22)*VLOOKUP(B37,E1_Projektdaten!$D$58:$I$60,6)/100</f>
        <v>0</v>
      </c>
      <c r="J37" s="189">
        <f t="shared" ref="J37:J60" si="10">$F$22*(1+$G$22)^(B37-B$36)+$F$23*(1+$G$23)^(B37-B$36)</f>
        <v>17574</v>
      </c>
      <c r="K37" s="190"/>
      <c r="L37" s="191"/>
      <c r="M37" s="185">
        <f t="shared" si="5"/>
        <v>23333.333333333336</v>
      </c>
      <c r="N37" s="188">
        <f>+(E1_Projektdaten!$D$48*(1+Eing_allg_Teuerung/100)^(E1_Projektdaten!$I$48*ROUNDDOWN((AD37-1)/E1_Projektdaten!$I$48,0))/E1_Projektdaten!$I$48
+E1_Projektdaten!$D$49*(1+Eing_allg_Teuerung/100)^(E1_Projektdaten!$I$49*ROUNDDOWN((AD37-1)/E1_Projektdaten!$I$49,0))/E1_Projektdaten!$I$49
+E1_Projektdaten!$D$50*(1+Eing_allg_Teuerung/100)^(E1_Projektdaten!$I$50*ROUNDDOWN((AD37-1)/E1_Projektdaten!$I$50,0))/E1_Projektdaten!$I$50
+E1_Projektdaten!$D$51*(1+Eing_allg_Teuerung/100)^(E1_Projektdaten!$I$51*ROUNDDOWN((AD37-1)/E1_Projektdaten!$I$51,0))/E1_Projektdaten!$I$51
+E1_Projektdaten!$D$52*(1+Eing_allg_Teuerung/100)^(E1_Projektdaten!$I$52*ROUNDDOWN((AD37-1)/E1_Projektdaten!$I$52,0))/E1_Projektdaten!$I$52
+E1_Projektdaten!$D$53*(1+Eing_allg_Teuerung/100)^(E1_Projektdaten!$I$53*ROUNDDOWN((AD37-1)/E1_Projektdaten!$I$53,0))/E1_Projektdaten!$I$53
)*((AD37)&gt;0)*VLOOKUP(B37,E1_Projektdaten!$D$58:$I$60,6
)/100</f>
        <v>0</v>
      </c>
      <c r="O37" s="194">
        <f t="shared" ref="O37:O60" si="11">IF(L37,SUM(L37:N37),SUM(E37:N37))</f>
        <v>40907.333333333336</v>
      </c>
      <c r="P37" s="206">
        <f>SUM((SUMPRODUCT((E3_Verbraucher!$D$21:$XFD$21&lt;B1_Berechnungen!B37)*E3_Verbraucher!$D$25:$XFD$25)+SUMPRODUCT((E3_Verbraucher!$D$21:$XFD$21=B1_Berechnungen!B37)*E3_Verbraucher!$D$25:$XFD$25*E3_Verbraucher!$D$20:$XFD$20))*(1+$G$24)^(B37-B$36),(SUMPRODUCT((E3_Verbraucher!$D$21:$XFD$21&lt;B1_Berechnungen!B37)*E3_Verbraucher!$D$26:$XFD$26)+SUMPRODUCT((E3_Verbraucher!$D$21:$XFD$21=B1_Berechnungen!B37)*E3_Verbraucher!$D$26:$XFD$26*E3_Verbraucher!$D$20:$XFD$20))*((1+$G$24)*(1-E1_Projektdaten!$D$19/100))^(B37-B$36))</f>
        <v>0</v>
      </c>
      <c r="Q37" s="189">
        <f>SUMPRODUCT((E3_Verbraucher!$D$21:$XFD$21=B1_Berechnungen!B37)*E3_Verbraucher!$D$23:$XFD$23)</f>
        <v>0</v>
      </c>
      <c r="R37" s="358">
        <f>SUM(jährlicher_Förderbeitrag*(B37-Erstauszahlung_jährlFörderung&lt;=Eing_Förderung_wiederholend_Laufzeit-1)*(B37&gt;=E1_Projektdaten!$D$83),E1_Projektdaten!$D$76*(B37=E1_Projektdaten!$D$77),E1_Projektdaten!$D$78*(B37=E1_Projektdaten!$D$79))</f>
        <v>0</v>
      </c>
      <c r="S37" s="190"/>
      <c r="T37" s="193"/>
      <c r="U37" s="194">
        <f t="shared" ref="U37:U60" si="12">IF(T37,T37,SUM(P37:S37))</f>
        <v>0</v>
      </c>
      <c r="V37" s="195">
        <f t="shared" ref="V37:V60" si="13">U37-O37</f>
        <v>-40907.333333333336</v>
      </c>
      <c r="W37" s="194">
        <f>V37+W36</f>
        <v>-83307.333333333343</v>
      </c>
      <c r="X37" s="188">
        <f>E1_Projektdaten!$D$48*(AD37-1=E1_Projektdaten!$I$48)*(1+Eing_allg_Teuerung/100)^E1_Projektdaten!$I$48
+E1_Projektdaten!$D$49*(AD37-1=E1_Projektdaten!$I$49)*(1+Eing_allg_Teuerung/100)^E1_Projektdaten!$I$49
+E1_Projektdaten!$D$50*(AD37-1=E1_Projektdaten!$I$50)*(1+Eing_allg_Teuerung/100)^E1_Projektdaten!$I$50
+E1_Projektdaten!$D$51*(AD37-1=E1_Projektdaten!$I$51)*(1+Eing_allg_Teuerung/100)^E1_Projektdaten!$I$51
+E1_Projektdaten!$D$52*(AD37-1=E1_Projektdaten!$I$52)*(1+Eing_allg_Teuerung/100)^E1_Projektdaten!$I$52
+E1_Projektdaten!$D$53*(AD37-1=E1_Projektdaten!$I$53)*(1+Eing_allg_Teuerung/100)^E1_Projektdaten!$I$53
+Gesamtinvestition*SUMPRODUCT((E1_Projektdaten!$D$58:$D$60=B37)*E1_Projektdaten!$F$58:$F$60)/100</f>
        <v>490500</v>
      </c>
      <c r="Y37" s="196">
        <f t="shared" si="6"/>
        <v>0</v>
      </c>
      <c r="Z37" s="185">
        <f t="shared" si="7"/>
        <v>66666.666666666672</v>
      </c>
      <c r="AA37" s="187">
        <f t="shared" ref="AA37:AA60" si="14">U37-(O37-N37)-X37-Z37+Y37</f>
        <v>-598074</v>
      </c>
      <c r="AB37" s="197">
        <f t="shared" ref="AB37:AB60" si="15">AB36+AA37</f>
        <v>32526</v>
      </c>
      <c r="AC37" s="198"/>
      <c r="AD37" s="199">
        <f>MAX(B1_Berechnungen!B37+1-E1_Projektdaten!$D$22,0)</f>
        <v>0</v>
      </c>
      <c r="AE37" s="200">
        <f t="shared" si="8"/>
        <v>-933333.33333333337</v>
      </c>
      <c r="AF37" s="201">
        <f>E1_Projektdaten!$D$48*(AD37-1=E1_Projektdaten!$I$48)*(1+Eing_allg_Teuerung/100)^E1_Projektdaten!$I$48
+E1_Projektdaten!$D$49*(AD37-1=E1_Projektdaten!$I$49)*(1+Eing_allg_Teuerung/100)^E1_Projektdaten!$I$49
+E1_Projektdaten!$D$50*(AD37-1=E1_Projektdaten!$I$50)*(1+Eing_allg_Teuerung/100)^E1_Projektdaten!$I$50
+E1_Projektdaten!$D$51*(AD37-1=E1_Projektdaten!$I$51)*(1+Eing_allg_Teuerung/100)^E1_Projektdaten!$I$51
+E1_Projektdaten!$D$52*(AD37-1=E1_Projektdaten!$I$52)*(1+Eing_allg_Teuerung/100)^E1_Projektdaten!$I$52
+E1_Projektdaten!$D$53*(AD37-1=E1_Projektdaten!$I$53)*(1+Eing_allg_Teuerung/100)^E1_Projektdaten!$I$53
+(Gesamtinvestition-SUM(E1_Projektdaten!$D$54:$D$55))*SUMPRODUCT((E1_Projektdaten!$D$58:$D$60=B37)*E1_Projektdaten!$F$58:$F$60)/100+AF36-N37</f>
        <v>710000</v>
      </c>
      <c r="AG37" s="202">
        <f>IF(ISNUMBER(IRR((AJ$36:AJ36,AI37))),IRR((AJ$36:AJ36,AI37)),"-")</f>
        <v>-0.51653311676592684</v>
      </c>
      <c r="AH37" s="203">
        <f t="shared" si="9"/>
        <v>2023</v>
      </c>
      <c r="AI37" s="204">
        <f>SUM(-$X37,$V37,$N37,AF37)</f>
        <v>178592.66666666663</v>
      </c>
      <c r="AJ37" s="204">
        <f t="shared" ref="AJ37:AJ60" si="16">SUM(-$X37,$V37,$N37)</f>
        <v>-531407.33333333337</v>
      </c>
    </row>
    <row r="38" spans="1:36" ht="12.95" customHeight="1" x14ac:dyDescent="0.2">
      <c r="B38" s="184">
        <f t="shared" ref="B38:B60" si="17">B37+1</f>
        <v>2024</v>
      </c>
      <c r="C38" s="205">
        <f>(SUMPRODUCT((E3_Verbraucher!$D$21:$XFD$21&lt;B1_Berechnungen!B38)*E3_Verbraucher!$D$18:$XFD$18)+SUMPRODUCT((E3_Verbraucher!$D$21:$XFD$21=B1_Berechnungen!B38)*E3_Verbraucher!$D$18:$XFD$18*E3_Verbraucher!$D$20:$XFD$20))/(100-Eing_Netzverluste)*100*(1-E1_Projektdaten!$D$19/100)^(B1_Berechnungen!B38-E1_Projektdaten!$D$22)</f>
        <v>138.88888888888889</v>
      </c>
      <c r="D38" s="186">
        <f t="shared" si="1"/>
        <v>6.6844919786096257</v>
      </c>
      <c r="E38" s="206">
        <f t="shared" si="2"/>
        <v>6623.5659722222235</v>
      </c>
      <c r="F38" s="189">
        <f t="shared" si="3"/>
        <v>2125.2083333333335</v>
      </c>
      <c r="G38" s="189">
        <f t="shared" si="4"/>
        <v>425.04166666666669</v>
      </c>
      <c r="H38" s="188">
        <f>($F$19*(1+$G$19)^(B38-B$36)+$F$20*(1+$G$20)^(B38-B$36))*(B38&gt;=E1_Projektdaten!$D$22)*VLOOKUP(B38,E1_Projektdaten!$D$58:$I$60,6)/100</f>
        <v>18361.800000000003</v>
      </c>
      <c r="I38" s="188">
        <f>$F$21*(1+$G$21)^(B38-B$36)*(B38&gt;=E1_Projektdaten!$D$22)*VLOOKUP(B38,E1_Projektdaten!$D$58:$I$60,6)/100</f>
        <v>24380.39</v>
      </c>
      <c r="J38" s="189">
        <f t="shared" si="10"/>
        <v>17749.739999999998</v>
      </c>
      <c r="K38" s="190"/>
      <c r="L38" s="191"/>
      <c r="M38" s="185">
        <f t="shared" si="5"/>
        <v>21666.666666666664</v>
      </c>
      <c r="N38" s="188">
        <f>+(E1_Projektdaten!$D$48*(1+Eing_allg_Teuerung/100)^(E1_Projektdaten!$I$48*ROUNDDOWN((AD38-1)/E1_Projektdaten!$I$48,0))/E1_Projektdaten!$I$48
+E1_Projektdaten!$D$49*(1+Eing_allg_Teuerung/100)^(E1_Projektdaten!$I$49*ROUNDDOWN((AD38-1)/E1_Projektdaten!$I$49,0))/E1_Projektdaten!$I$49
+E1_Projektdaten!$D$50*(1+Eing_allg_Teuerung/100)^(E1_Projektdaten!$I$50*ROUNDDOWN((AD38-1)/E1_Projektdaten!$I$50,0))/E1_Projektdaten!$I$50
+E1_Projektdaten!$D$51*(1+Eing_allg_Teuerung/100)^(E1_Projektdaten!$I$51*ROUNDDOWN((AD38-1)/E1_Projektdaten!$I$51,0))/E1_Projektdaten!$I$51
+E1_Projektdaten!$D$52*(1+Eing_allg_Teuerung/100)^(E1_Projektdaten!$I$52*ROUNDDOWN((AD38-1)/E1_Projektdaten!$I$52,0))/E1_Projektdaten!$I$52
+E1_Projektdaten!$D$53*(1+Eing_allg_Teuerung/100)^(E1_Projektdaten!$I$53*ROUNDDOWN((AD38-1)/E1_Projektdaten!$I$53,0))/E1_Projektdaten!$I$53
)*((AD38)&gt;0)*VLOOKUP(B38,E1_Projektdaten!$D$58:$I$60,6
)/100</f>
        <v>43833.333333333343</v>
      </c>
      <c r="O38" s="194">
        <f t="shared" si="11"/>
        <v>135165.74597222221</v>
      </c>
      <c r="P38" s="206">
        <f>SUM((SUMPRODUCT((E3_Verbraucher!$D$21:$XFD$21&lt;B1_Berechnungen!B38)*E3_Verbraucher!$D$25:$XFD$25)+SUMPRODUCT((E3_Verbraucher!$D$21:$XFD$21=B1_Berechnungen!B38)*E3_Verbraucher!$D$25:$XFD$25*E3_Verbraucher!$D$20:$XFD$20))*(1+$G$24)^(B38-B$36),(SUMPRODUCT((E3_Verbraucher!$D$21:$XFD$21&lt;B1_Berechnungen!B38)*E3_Verbraucher!$D$26:$XFD$26)+SUMPRODUCT((E3_Verbraucher!$D$21:$XFD$21=B1_Berechnungen!B38)*E3_Verbraucher!$D$26:$XFD$26*E3_Verbraucher!$D$20:$XFD$20))*((1+$G$24)*(1-E1_Projektdaten!$D$19/100))^(B38-B$36))</f>
        <v>19000.637624999999</v>
      </c>
      <c r="Q38" s="189">
        <f>SUMPRODUCT((E3_Verbraucher!$D$21:$XFD$21=B1_Berechnungen!B38)*E3_Verbraucher!$D$23:$XFD$23)</f>
        <v>80000</v>
      </c>
      <c r="R38" s="358">
        <f>SUM(jährlicher_Förderbeitrag*(B38-Erstauszahlung_jährlFörderung&lt;=Eing_Förderung_wiederholend_Laufzeit-1)*(B38&gt;=E1_Projektdaten!$D$83),E1_Projektdaten!$D$76*(B38=E1_Projektdaten!$D$77),E1_Projektdaten!$D$78*(B38=E1_Projektdaten!$D$79))</f>
        <v>159000</v>
      </c>
      <c r="S38" s="190"/>
      <c r="T38" s="193"/>
      <c r="U38" s="194">
        <f t="shared" si="12"/>
        <v>258000.637625</v>
      </c>
      <c r="V38" s="195">
        <f t="shared" si="13"/>
        <v>122834.89165277779</v>
      </c>
      <c r="W38" s="194">
        <f t="shared" ref="W38:W60" si="18">V38+W37</f>
        <v>39527.558319444448</v>
      </c>
      <c r="X38" s="188">
        <f>E1_Projektdaten!$D$48*(AD38-1=E1_Projektdaten!$I$48)*(1+Eing_allg_Teuerung/100)^E1_Projektdaten!$I$48
+E1_Projektdaten!$D$49*(AD38-1=E1_Projektdaten!$I$49)*(1+Eing_allg_Teuerung/100)^E1_Projektdaten!$I$49
+E1_Projektdaten!$D$50*(AD38-1=E1_Projektdaten!$I$50)*(1+Eing_allg_Teuerung/100)^E1_Projektdaten!$I$50
+E1_Projektdaten!$D$51*(AD38-1=E1_Projektdaten!$I$51)*(1+Eing_allg_Teuerung/100)^E1_Projektdaten!$I$51
+E1_Projektdaten!$D$52*(AD38-1=E1_Projektdaten!$I$52)*(1+Eing_allg_Teuerung/100)^E1_Projektdaten!$I$52
+E1_Projektdaten!$D$53*(AD38-1=E1_Projektdaten!$I$53)*(1+Eing_allg_Teuerung/100)^E1_Projektdaten!$I$53
+Gesamtinvestition*SUMPRODUCT((E1_Projektdaten!$D$58:$D$60=B38)*E1_Projektdaten!$F$58:$F$60)/100</f>
        <v>817500</v>
      </c>
      <c r="Y38" s="196">
        <f t="shared" si="6"/>
        <v>0</v>
      </c>
      <c r="Z38" s="185">
        <f t="shared" si="7"/>
        <v>66666.666666666672</v>
      </c>
      <c r="AA38" s="187">
        <f t="shared" si="14"/>
        <v>-717498.44168055546</v>
      </c>
      <c r="AB38" s="197">
        <f t="shared" si="15"/>
        <v>-684972.44168055546</v>
      </c>
      <c r="AC38" s="198"/>
      <c r="AD38" s="199">
        <f>MAX(B1_Berechnungen!B38+1-E1_Projektdaten!$D$22,0)</f>
        <v>1</v>
      </c>
      <c r="AE38" s="200">
        <f t="shared" si="8"/>
        <v>-866666.66666666663</v>
      </c>
      <c r="AF38" s="201">
        <f>E1_Projektdaten!$D$48*(AD38-1=E1_Projektdaten!$I$48)*(1+Eing_allg_Teuerung/100)^E1_Projektdaten!$I$48
+E1_Projektdaten!$D$49*(AD38-1=E1_Projektdaten!$I$49)*(1+Eing_allg_Teuerung/100)^E1_Projektdaten!$I$49
+E1_Projektdaten!$D$50*(AD38-1=E1_Projektdaten!$I$50)*(1+Eing_allg_Teuerung/100)^E1_Projektdaten!$I$50
+E1_Projektdaten!$D$51*(AD38-1=E1_Projektdaten!$I$51)*(1+Eing_allg_Teuerung/100)^E1_Projektdaten!$I$51
+E1_Projektdaten!$D$52*(AD38-1=E1_Projektdaten!$I$52)*(1+Eing_allg_Teuerung/100)^E1_Projektdaten!$I$52
+E1_Projektdaten!$D$53*(AD38-1=E1_Projektdaten!$I$53)*(1+Eing_allg_Teuerung/100)^E1_Projektdaten!$I$53
+(Gesamtinvestition-SUM(E1_Projektdaten!$D$54:$D$55))*SUMPRODUCT((E1_Projektdaten!$D$58:$D$60=B38)*E1_Projektdaten!$F$58:$F$60)/100+AF37-N38</f>
        <v>1376166.6666666667</v>
      </c>
      <c r="AG38" s="202">
        <f>IF(ISNUMBER(IRR((AJ$36:AJ37,AI38))),IRR((AJ$36:AJ37,AI38)),"-")</f>
        <v>-0.14419116148024913</v>
      </c>
      <c r="AH38" s="203">
        <f t="shared" si="9"/>
        <v>2024</v>
      </c>
      <c r="AI38" s="204">
        <f t="shared" ref="AI38:AI60" si="19">SUM(-$X38,$V38,$N38,AF38)</f>
        <v>725334.89165277791</v>
      </c>
      <c r="AJ38" s="204">
        <f t="shared" si="16"/>
        <v>-650831.77501388884</v>
      </c>
    </row>
    <row r="39" spans="1:36" ht="12.95" customHeight="1" x14ac:dyDescent="0.2">
      <c r="B39" s="184">
        <f t="shared" si="17"/>
        <v>2025</v>
      </c>
      <c r="C39" s="205">
        <f>(SUMPRODUCT((E3_Verbraucher!$D$21:$XFD$21&lt;B1_Berechnungen!B39)*E3_Verbraucher!$D$18:$XFD$18)+SUMPRODUCT((E3_Verbraucher!$D$21:$XFD$21=B1_Berechnungen!B39)*E3_Verbraucher!$D$18:$XFD$18*E3_Verbraucher!$D$20:$XFD$20))/(100-Eing_Netzverluste)*100*(1-E1_Projektdaten!$D$19/100)^(B1_Berechnungen!B39-E1_Projektdaten!$D$22)</f>
        <v>951.5</v>
      </c>
      <c r="D39" s="186">
        <f t="shared" si="1"/>
        <v>45.794117647058826</v>
      </c>
      <c r="E39" s="206">
        <f t="shared" si="2"/>
        <v>45830.493020125003</v>
      </c>
      <c r="F39" s="189">
        <f t="shared" si="3"/>
        <v>14704.9710225</v>
      </c>
      <c r="G39" s="189">
        <f t="shared" si="4"/>
        <v>2940.9942044999998</v>
      </c>
      <c r="H39" s="188">
        <f>($F$19*(1+$G$19)^(B39-B$36)+$F$20*(1+$G$20)^(B39-B$36))*(B39&gt;=E1_Projektdaten!$D$22)*VLOOKUP(B39,E1_Projektdaten!$D$58:$I$60,6)/100</f>
        <v>18545.417999999998</v>
      </c>
      <c r="I39" s="188">
        <f>$F$21*(1+$G$21)^(B39-B$36)*(B39&gt;=E1_Projektdaten!$D$22)*VLOOKUP(B39,E1_Projektdaten!$D$58:$I$60,6)/100</f>
        <v>24624.193899999998</v>
      </c>
      <c r="J39" s="189">
        <f t="shared" si="10"/>
        <v>17927.237399999998</v>
      </c>
      <c r="K39" s="190"/>
      <c r="L39" s="191"/>
      <c r="M39" s="185">
        <f t="shared" si="5"/>
        <v>20000</v>
      </c>
      <c r="N39" s="188">
        <f>+(E1_Projektdaten!$D$48*(1+Eing_allg_Teuerung/100)^(E1_Projektdaten!$I$48*ROUNDDOWN((AD39-1)/E1_Projektdaten!$I$48,0))/E1_Projektdaten!$I$48
+E1_Projektdaten!$D$49*(1+Eing_allg_Teuerung/100)^(E1_Projektdaten!$I$49*ROUNDDOWN((AD39-1)/E1_Projektdaten!$I$49,0))/E1_Projektdaten!$I$49
+E1_Projektdaten!$D$50*(1+Eing_allg_Teuerung/100)^(E1_Projektdaten!$I$50*ROUNDDOWN((AD39-1)/E1_Projektdaten!$I$50,0))/E1_Projektdaten!$I$50
+E1_Projektdaten!$D$51*(1+Eing_allg_Teuerung/100)^(E1_Projektdaten!$I$51*ROUNDDOWN((AD39-1)/E1_Projektdaten!$I$51,0))/E1_Projektdaten!$I$51
+E1_Projektdaten!$D$52*(1+Eing_allg_Teuerung/100)^(E1_Projektdaten!$I$52*ROUNDDOWN((AD39-1)/E1_Projektdaten!$I$52,0))/E1_Projektdaten!$I$52
+E1_Projektdaten!$D$53*(1+Eing_allg_Teuerung/100)^(E1_Projektdaten!$I$53*ROUNDDOWN((AD39-1)/E1_Projektdaten!$I$53,0))/E1_Projektdaten!$I$53
)*((AD39)&gt;0)*VLOOKUP(B39,E1_Projektdaten!$D$58:$I$60,6
)/100</f>
        <v>43833.333333333343</v>
      </c>
      <c r="O39" s="194">
        <f t="shared" si="11"/>
        <v>188406.64088045835</v>
      </c>
      <c r="P39" s="206">
        <f>SUM((SUMPRODUCT((E3_Verbraucher!$D$21:$XFD$21&lt;B1_Berechnungen!B39)*E3_Verbraucher!$D$25:$XFD$25)+SUMPRODUCT((E3_Verbraucher!$D$21:$XFD$21=B1_Berechnungen!B39)*E3_Verbraucher!$D$25:$XFD$25*E3_Verbraucher!$D$20:$XFD$20))*(1+$G$24)^(B39-B$36),(SUMPRODUCT((E3_Verbraucher!$D$21:$XFD$21&lt;B1_Berechnungen!B39)*E3_Verbraucher!$D$26:$XFD$26)+SUMPRODUCT((E3_Verbraucher!$D$21:$XFD$21=B1_Berechnungen!B39)*E3_Verbraucher!$D$26:$XFD$26*E3_Verbraucher!$D$20:$XFD$20))*((1+$G$24)*(1-E1_Projektdaten!$D$19/100))^(B39-B$36))</f>
        <v>131395.17619491351</v>
      </c>
      <c r="Q39" s="189">
        <f>SUMPRODUCT((E3_Verbraucher!$D$21:$XFD$21=B1_Berechnungen!B39)*E3_Verbraucher!$D$23:$XFD$23)</f>
        <v>520000</v>
      </c>
      <c r="R39" s="358">
        <f>SUM(jährlicher_Förderbeitrag*(B39-Erstauszahlung_jährlFörderung&lt;=Eing_Förderung_wiederholend_Laufzeit-1)*(B39&gt;=E1_Projektdaten!$D$83),E1_Projektdaten!$D$76*(B39=E1_Projektdaten!$D$77),E1_Projektdaten!$D$78*(B39=E1_Projektdaten!$D$79))</f>
        <v>50000</v>
      </c>
      <c r="S39" s="190"/>
      <c r="T39" s="193"/>
      <c r="U39" s="194">
        <f t="shared" si="12"/>
        <v>701395.17619491345</v>
      </c>
      <c r="V39" s="195">
        <f t="shared" si="13"/>
        <v>512988.5353144551</v>
      </c>
      <c r="W39" s="194">
        <f t="shared" si="18"/>
        <v>552516.09363389958</v>
      </c>
      <c r="X39" s="188">
        <f>E1_Projektdaten!$D$48*(AD39-1=E1_Projektdaten!$I$48)*(1+Eing_allg_Teuerung/100)^E1_Projektdaten!$I$48
+E1_Projektdaten!$D$49*(AD39-1=E1_Projektdaten!$I$49)*(1+Eing_allg_Teuerung/100)^E1_Projektdaten!$I$49
+E1_Projektdaten!$D$50*(AD39-1=E1_Projektdaten!$I$50)*(1+Eing_allg_Teuerung/100)^E1_Projektdaten!$I$50
+E1_Projektdaten!$D$51*(AD39-1=E1_Projektdaten!$I$51)*(1+Eing_allg_Teuerung/100)^E1_Projektdaten!$I$51
+E1_Projektdaten!$D$52*(AD39-1=E1_Projektdaten!$I$52)*(1+Eing_allg_Teuerung/100)^E1_Projektdaten!$I$52
+E1_Projektdaten!$D$53*(AD39-1=E1_Projektdaten!$I$53)*(1+Eing_allg_Teuerung/100)^E1_Projektdaten!$I$53
+Gesamtinvestition*SUMPRODUCT((E1_Projektdaten!$D$58:$D$60=B39)*E1_Projektdaten!$F$58:$F$60)/100</f>
        <v>0</v>
      </c>
      <c r="Y39" s="196">
        <f t="shared" si="6"/>
        <v>0</v>
      </c>
      <c r="Z39" s="185">
        <f t="shared" si="7"/>
        <v>66666.666666666672</v>
      </c>
      <c r="AA39" s="187">
        <f t="shared" si="14"/>
        <v>490155.20198112173</v>
      </c>
      <c r="AB39" s="197">
        <f t="shared" si="15"/>
        <v>-194817.23969943373</v>
      </c>
      <c r="AC39" s="198"/>
      <c r="AD39" s="199">
        <f>MAX(B1_Berechnungen!B39+1-E1_Projektdaten!$D$22,0)</f>
        <v>2</v>
      </c>
      <c r="AE39" s="200">
        <f t="shared" si="8"/>
        <v>-800000</v>
      </c>
      <c r="AF39" s="201">
        <f>E1_Projektdaten!$D$48*(AD39-1=E1_Projektdaten!$I$48)*(1+Eing_allg_Teuerung/100)^E1_Projektdaten!$I$48
+E1_Projektdaten!$D$49*(AD39-1=E1_Projektdaten!$I$49)*(1+Eing_allg_Teuerung/100)^E1_Projektdaten!$I$49
+E1_Projektdaten!$D$50*(AD39-1=E1_Projektdaten!$I$50)*(1+Eing_allg_Teuerung/100)^E1_Projektdaten!$I$50
+E1_Projektdaten!$D$51*(AD39-1=E1_Projektdaten!$I$51)*(1+Eing_allg_Teuerung/100)^E1_Projektdaten!$I$51
+E1_Projektdaten!$D$52*(AD39-1=E1_Projektdaten!$I$52)*(1+Eing_allg_Teuerung/100)^E1_Projektdaten!$I$52
+E1_Projektdaten!$D$53*(AD39-1=E1_Projektdaten!$I$53)*(1+Eing_allg_Teuerung/100)^E1_Projektdaten!$I$53
+(Gesamtinvestition-SUM(E1_Projektdaten!$D$54:$D$55))*SUMPRODUCT((E1_Projektdaten!$D$58:$D$60=B39)*E1_Projektdaten!$F$58:$F$60)/100+AF38-N39</f>
        <v>1332333.3333333335</v>
      </c>
      <c r="AG39" s="202">
        <f>IF(ISNUMBER(IRR((AJ$36:AJ38,AI39))),IRR((AJ$36:AJ38,AI39)),"-")</f>
        <v>0.11211959094173185</v>
      </c>
      <c r="AH39" s="203">
        <f t="shared" si="9"/>
        <v>2025</v>
      </c>
      <c r="AI39" s="204">
        <f t="shared" si="19"/>
        <v>1889155.2019811219</v>
      </c>
      <c r="AJ39" s="204">
        <f t="shared" si="16"/>
        <v>556821.86864778842</v>
      </c>
    </row>
    <row r="40" spans="1:36" ht="12.95" customHeight="1" x14ac:dyDescent="0.2">
      <c r="B40" s="184">
        <f t="shared" si="17"/>
        <v>2026</v>
      </c>
      <c r="C40" s="205">
        <f>(SUMPRODUCT((E3_Verbraucher!$D$21:$XFD$21&lt;B1_Berechnungen!B40)*E3_Verbraucher!$D$18:$XFD$18)+SUMPRODUCT((E3_Verbraucher!$D$21:$XFD$21=B1_Berechnungen!B40)*E3_Verbraucher!$D$18:$XFD$18*E3_Verbraucher!$D$20:$XFD$20))/(100-Eing_Netzverluste)*100*(1-E1_Projektdaten!$D$19/100)^(B1_Berechnungen!B40-E1_Projektdaten!$D$22)</f>
        <v>1976.5350000000001</v>
      </c>
      <c r="D40" s="186">
        <f t="shared" si="1"/>
        <v>95.127352941176468</v>
      </c>
      <c r="E40" s="206">
        <f t="shared" si="2"/>
        <v>96154.944042825111</v>
      </c>
      <c r="F40" s="189">
        <f t="shared" si="3"/>
        <v>30851.853703580251</v>
      </c>
      <c r="G40" s="189">
        <f t="shared" si="4"/>
        <v>6170.3707407160509</v>
      </c>
      <c r="H40" s="188">
        <f>($F$19*(1+$G$19)^(B40-B$36)+$F$20*(1+$G$20)^(B40-B$36))*(B40&gt;=E1_Projektdaten!$D$22)*VLOOKUP(B40,E1_Projektdaten!$D$58:$I$60,6)/100</f>
        <v>18730.872179999998</v>
      </c>
      <c r="I40" s="188">
        <f>$F$21*(1+$G$21)^(B40-B$36)*(B40&gt;=E1_Projektdaten!$D$22)*VLOOKUP(B40,E1_Projektdaten!$D$58:$I$60,6)/100</f>
        <v>24870.435838999998</v>
      </c>
      <c r="J40" s="189">
        <f t="shared" si="10"/>
        <v>18106.509773999998</v>
      </c>
      <c r="K40" s="190"/>
      <c r="L40" s="191"/>
      <c r="M40" s="185">
        <f t="shared" si="5"/>
        <v>18333.333333333328</v>
      </c>
      <c r="N40" s="188">
        <f>+(E1_Projektdaten!$D$48*(1+Eing_allg_Teuerung/100)^(E1_Projektdaten!$I$48*ROUNDDOWN((AD40-1)/E1_Projektdaten!$I$48,0))/E1_Projektdaten!$I$48
+E1_Projektdaten!$D$49*(1+Eing_allg_Teuerung/100)^(E1_Projektdaten!$I$49*ROUNDDOWN((AD40-1)/E1_Projektdaten!$I$49,0))/E1_Projektdaten!$I$49
+E1_Projektdaten!$D$50*(1+Eing_allg_Teuerung/100)^(E1_Projektdaten!$I$50*ROUNDDOWN((AD40-1)/E1_Projektdaten!$I$50,0))/E1_Projektdaten!$I$50
+E1_Projektdaten!$D$51*(1+Eing_allg_Teuerung/100)^(E1_Projektdaten!$I$51*ROUNDDOWN((AD40-1)/E1_Projektdaten!$I$51,0))/E1_Projektdaten!$I$51
+E1_Projektdaten!$D$52*(1+Eing_allg_Teuerung/100)^(E1_Projektdaten!$I$52*ROUNDDOWN((AD40-1)/E1_Projektdaten!$I$52,0))/E1_Projektdaten!$I$52
+E1_Projektdaten!$D$53*(1+Eing_allg_Teuerung/100)^(E1_Projektdaten!$I$53*ROUNDDOWN((AD40-1)/E1_Projektdaten!$I$53,0))/E1_Projektdaten!$I$53
)*((AD40)&gt;0)*VLOOKUP(B40,E1_Projektdaten!$D$58:$I$60,6
)/100</f>
        <v>43833.333333333343</v>
      </c>
      <c r="O40" s="194">
        <f t="shared" si="11"/>
        <v>257051.65294678809</v>
      </c>
      <c r="P40" s="206">
        <f>SUM((SUMPRODUCT((E3_Verbraucher!$D$21:$XFD$21&lt;B1_Berechnungen!B40)*E3_Verbraucher!$D$25:$XFD$25)+SUMPRODUCT((E3_Verbraucher!$D$21:$XFD$21=B1_Berechnungen!B40)*E3_Verbraucher!$D$25:$XFD$25*E3_Verbraucher!$D$20:$XFD$20))*(1+$G$24)^(B40-B$36),(SUMPRODUCT((E3_Verbraucher!$D$21:$XFD$21&lt;B1_Berechnungen!B40)*E3_Verbraucher!$D$26:$XFD$26)+SUMPRODUCT((E3_Verbraucher!$D$21:$XFD$21=B1_Berechnungen!B40)*E3_Verbraucher!$D$26:$XFD$26*E3_Verbraucher!$D$20:$XFD$20))*((1+$G$24)*(1-E1_Projektdaten!$D$19/100))^(B40-B$36))</f>
        <v>277084.93450852402</v>
      </c>
      <c r="Q40" s="189">
        <f>SUMPRODUCT((E3_Verbraucher!$D$21:$XFD$21=B1_Berechnungen!B40)*E3_Verbraucher!$D$23:$XFD$23)</f>
        <v>50000</v>
      </c>
      <c r="R40" s="358">
        <f>SUM(jährlicher_Förderbeitrag*(B40-Erstauszahlung_jährlFörderung&lt;=Eing_Förderung_wiederholend_Laufzeit-1)*(B40&gt;=E1_Projektdaten!$D$83),E1_Projektdaten!$D$76*(B40=E1_Projektdaten!$D$77),E1_Projektdaten!$D$78*(B40=E1_Projektdaten!$D$79))</f>
        <v>10000</v>
      </c>
      <c r="S40" s="190"/>
      <c r="T40" s="193"/>
      <c r="U40" s="194">
        <f t="shared" si="12"/>
        <v>337084.93450852402</v>
      </c>
      <c r="V40" s="195">
        <f t="shared" si="13"/>
        <v>80033.28156173593</v>
      </c>
      <c r="W40" s="194">
        <f t="shared" si="18"/>
        <v>632549.37519563548</v>
      </c>
      <c r="X40" s="188">
        <f>E1_Projektdaten!$D$48*(AD40-1=E1_Projektdaten!$I$48)*(1+Eing_allg_Teuerung/100)^E1_Projektdaten!$I$48
+E1_Projektdaten!$D$49*(AD40-1=E1_Projektdaten!$I$49)*(1+Eing_allg_Teuerung/100)^E1_Projektdaten!$I$49
+E1_Projektdaten!$D$50*(AD40-1=E1_Projektdaten!$I$50)*(1+Eing_allg_Teuerung/100)^E1_Projektdaten!$I$50
+E1_Projektdaten!$D$51*(AD40-1=E1_Projektdaten!$I$51)*(1+Eing_allg_Teuerung/100)^E1_Projektdaten!$I$51
+E1_Projektdaten!$D$52*(AD40-1=E1_Projektdaten!$I$52)*(1+Eing_allg_Teuerung/100)^E1_Projektdaten!$I$52
+E1_Projektdaten!$D$53*(AD40-1=E1_Projektdaten!$I$53)*(1+Eing_allg_Teuerung/100)^E1_Projektdaten!$I$53
+Gesamtinvestition*SUMPRODUCT((E1_Projektdaten!$D$58:$D$60=B40)*E1_Projektdaten!$F$58:$F$60)/100</f>
        <v>0</v>
      </c>
      <c r="Y40" s="196">
        <f t="shared" si="6"/>
        <v>0</v>
      </c>
      <c r="Z40" s="185">
        <f t="shared" si="7"/>
        <v>66666.666666666672</v>
      </c>
      <c r="AA40" s="187">
        <f t="shared" si="14"/>
        <v>57199.948228402602</v>
      </c>
      <c r="AB40" s="197">
        <f t="shared" si="15"/>
        <v>-137617.29147103115</v>
      </c>
      <c r="AC40" s="198"/>
      <c r="AD40" s="199">
        <f>MAX(B1_Berechnungen!B40+1-E1_Projektdaten!$D$22,0)</f>
        <v>3</v>
      </c>
      <c r="AE40" s="200">
        <f t="shared" si="8"/>
        <v>-733333.33333333326</v>
      </c>
      <c r="AF40" s="201">
        <f>E1_Projektdaten!$D$48*(AD40-1=E1_Projektdaten!$I$48)*(1+Eing_allg_Teuerung/100)^E1_Projektdaten!$I$48
+E1_Projektdaten!$D$49*(AD40-1=E1_Projektdaten!$I$49)*(1+Eing_allg_Teuerung/100)^E1_Projektdaten!$I$49
+E1_Projektdaten!$D$50*(AD40-1=E1_Projektdaten!$I$50)*(1+Eing_allg_Teuerung/100)^E1_Projektdaten!$I$50
+E1_Projektdaten!$D$51*(AD40-1=E1_Projektdaten!$I$51)*(1+Eing_allg_Teuerung/100)^E1_Projektdaten!$I$51
+E1_Projektdaten!$D$52*(AD40-1=E1_Projektdaten!$I$52)*(1+Eing_allg_Teuerung/100)^E1_Projektdaten!$I$52
+E1_Projektdaten!$D$53*(AD40-1=E1_Projektdaten!$I$53)*(1+Eing_allg_Teuerung/100)^E1_Projektdaten!$I$53
+(Gesamtinvestition-SUM(E1_Projektdaten!$D$54:$D$55))*SUMPRODUCT((E1_Projektdaten!$D$58:$D$60=B40)*E1_Projektdaten!$F$58:$F$60)/100+AF39-N40</f>
        <v>1288500.0000000002</v>
      </c>
      <c r="AG40" s="202">
        <f>IF(ISNUMBER(IRR((AJ$36:AJ39,AI40))),IRR((AJ$36:AJ39,AI40)),"-")</f>
        <v>9.7735440986643329E-2</v>
      </c>
      <c r="AH40" s="203">
        <f t="shared" si="9"/>
        <v>2026</v>
      </c>
      <c r="AI40" s="204">
        <f t="shared" si="19"/>
        <v>1412366.6148950695</v>
      </c>
      <c r="AJ40" s="204">
        <f t="shared" si="16"/>
        <v>123866.61489506927</v>
      </c>
    </row>
    <row r="41" spans="1:36" ht="12.95" customHeight="1" x14ac:dyDescent="0.2">
      <c r="B41" s="184">
        <f t="shared" si="17"/>
        <v>2027</v>
      </c>
      <c r="C41" s="205">
        <f>(SUMPRODUCT((E3_Verbraucher!$D$21:$XFD$21&lt;B1_Berechnungen!B41)*E3_Verbraucher!$D$18:$XFD$18)+SUMPRODUCT((E3_Verbraucher!$D$21:$XFD$21=B1_Berechnungen!B41)*E3_Verbraucher!$D$18:$XFD$18*E3_Verbraucher!$D$20:$XFD$20))/(100-Eing_Netzverluste)*100*(1-E1_Projektdaten!$D$19/100)^(B1_Berechnungen!B41-E1_Projektdaten!$D$22)</f>
        <v>2016.0656999999999</v>
      </c>
      <c r="D41" s="186">
        <f t="shared" si="1"/>
        <v>97.029899999999998</v>
      </c>
      <c r="E41" s="206">
        <f t="shared" si="2"/>
        <v>99058.823352918451</v>
      </c>
      <c r="F41" s="189">
        <f t="shared" si="3"/>
        <v>31783.579685428373</v>
      </c>
      <c r="G41" s="189">
        <f t="shared" si="4"/>
        <v>6356.7159370856734</v>
      </c>
      <c r="H41" s="189">
        <f>($F$19*(1+$G$19)^(B41-B$36)+$F$20*(1+$G$20)^(B41-B$36))*(B41&gt;=E1_Projektdaten!$D$22)*VLOOKUP(B41,E1_Projektdaten!$D$58:$I$60,6)/100</f>
        <v>18918.180901799999</v>
      </c>
      <c r="I41" s="189">
        <f>$F$21*(1+$G$21)^(B41-B$36)*(B41&gt;=E1_Projektdaten!$D$22)*VLOOKUP(B41,E1_Projektdaten!$D$58:$I$60,6)/100</f>
        <v>25119.140197390003</v>
      </c>
      <c r="J41" s="189">
        <f t="shared" si="10"/>
        <v>18287.574871740002</v>
      </c>
      <c r="K41" s="190"/>
      <c r="L41" s="191"/>
      <c r="M41" s="185">
        <f t="shared" si="5"/>
        <v>16666.666666666664</v>
      </c>
      <c r="N41" s="188">
        <f>+(E1_Projektdaten!$D$48*(1+Eing_allg_Teuerung/100)^(E1_Projektdaten!$I$48*ROUNDDOWN((AD41-1)/E1_Projektdaten!$I$48,0))/E1_Projektdaten!$I$48
+E1_Projektdaten!$D$49*(1+Eing_allg_Teuerung/100)^(E1_Projektdaten!$I$49*ROUNDDOWN((AD41-1)/E1_Projektdaten!$I$49,0))/E1_Projektdaten!$I$49
+E1_Projektdaten!$D$50*(1+Eing_allg_Teuerung/100)^(E1_Projektdaten!$I$50*ROUNDDOWN((AD41-1)/E1_Projektdaten!$I$50,0))/E1_Projektdaten!$I$50
+E1_Projektdaten!$D$51*(1+Eing_allg_Teuerung/100)^(E1_Projektdaten!$I$51*ROUNDDOWN((AD41-1)/E1_Projektdaten!$I$51,0))/E1_Projektdaten!$I$51
+E1_Projektdaten!$D$52*(1+Eing_allg_Teuerung/100)^(E1_Projektdaten!$I$52*ROUNDDOWN((AD41-1)/E1_Projektdaten!$I$52,0))/E1_Projektdaten!$I$52
+E1_Projektdaten!$D$53*(1+Eing_allg_Teuerung/100)^(E1_Projektdaten!$I$53*ROUNDDOWN((AD41-1)/E1_Projektdaten!$I$53,0))/E1_Projektdaten!$I$53
)*((AD41)&gt;0)*VLOOKUP(B41,E1_Projektdaten!$D$58:$I$60,6
)/100</f>
        <v>43833.333333333343</v>
      </c>
      <c r="O41" s="194">
        <f t="shared" si="11"/>
        <v>260024.0149463625</v>
      </c>
      <c r="P41" s="206">
        <f>SUM((SUMPRODUCT((E3_Verbraucher!$D$21:$XFD$21&lt;B1_Berechnungen!B41)*E3_Verbraucher!$D$25:$XFD$25)+SUMPRODUCT((E3_Verbraucher!$D$21:$XFD$21=B1_Berechnungen!B41)*E3_Verbraucher!$D$25:$XFD$25*E3_Verbraucher!$D$20:$XFD$20))*(1+$G$24)^(B41-B$36),(SUMPRODUCT((E3_Verbraucher!$D$21:$XFD$21&lt;B1_Berechnungen!B41)*E3_Verbraucher!$D$26:$XFD$26)+SUMPRODUCT((E3_Verbraucher!$D$21:$XFD$21=B1_Berechnungen!B41)*E3_Verbraucher!$D$26:$XFD$26*E3_Verbraucher!$D$20:$XFD$20))*((1+$G$24)*(1-E1_Projektdaten!$D$19/100))^(B41-B$36))</f>
        <v>287856.0340102351</v>
      </c>
      <c r="Q41" s="189">
        <f>SUMPRODUCT((E3_Verbraucher!$D$21:$XFD$21=B1_Berechnungen!B41)*E3_Verbraucher!$D$23:$XFD$23)</f>
        <v>0</v>
      </c>
      <c r="R41" s="358">
        <f>SUM(jährlicher_Förderbeitrag*(B41-Erstauszahlung_jährlFörderung&lt;=Eing_Förderung_wiederholend_Laufzeit-1)*(B41&gt;=E1_Projektdaten!$D$83),E1_Projektdaten!$D$76*(B41=E1_Projektdaten!$D$77),E1_Projektdaten!$D$78*(B41=E1_Projektdaten!$D$79))</f>
        <v>10000</v>
      </c>
      <c r="S41" s="190"/>
      <c r="T41" s="193"/>
      <c r="U41" s="194">
        <f t="shared" si="12"/>
        <v>297856.0340102351</v>
      </c>
      <c r="V41" s="195">
        <f t="shared" si="13"/>
        <v>37832.019063872605</v>
      </c>
      <c r="W41" s="194">
        <f t="shared" si="18"/>
        <v>670381.39425950812</v>
      </c>
      <c r="X41" s="188">
        <f>E1_Projektdaten!$D$48*(AD41-1=E1_Projektdaten!$I$48)*(1+Eing_allg_Teuerung/100)^E1_Projektdaten!$I$48
+E1_Projektdaten!$D$49*(AD41-1=E1_Projektdaten!$I$49)*(1+Eing_allg_Teuerung/100)^E1_Projektdaten!$I$49
+E1_Projektdaten!$D$50*(AD41-1=E1_Projektdaten!$I$50)*(1+Eing_allg_Teuerung/100)^E1_Projektdaten!$I$50
+E1_Projektdaten!$D$51*(AD41-1=E1_Projektdaten!$I$51)*(1+Eing_allg_Teuerung/100)^E1_Projektdaten!$I$51
+E1_Projektdaten!$D$52*(AD41-1=E1_Projektdaten!$I$52)*(1+Eing_allg_Teuerung/100)^E1_Projektdaten!$I$52
+E1_Projektdaten!$D$53*(AD41-1=E1_Projektdaten!$I$53)*(1+Eing_allg_Teuerung/100)^E1_Projektdaten!$I$53
+Gesamtinvestition*SUMPRODUCT((E1_Projektdaten!$D$58:$D$60=B41)*E1_Projektdaten!$F$58:$F$60)/100</f>
        <v>0</v>
      </c>
      <c r="Y41" s="196">
        <f t="shared" si="6"/>
        <v>0</v>
      </c>
      <c r="Z41" s="185">
        <f t="shared" si="7"/>
        <v>66666.666666666672</v>
      </c>
      <c r="AA41" s="187">
        <f t="shared" si="14"/>
        <v>14998.685730539277</v>
      </c>
      <c r="AB41" s="197">
        <f t="shared" si="15"/>
        <v>-122618.60574049187</v>
      </c>
      <c r="AC41" s="198"/>
      <c r="AD41" s="199">
        <f>MAX(B1_Berechnungen!B41+1-E1_Projektdaten!$D$22,0)</f>
        <v>4</v>
      </c>
      <c r="AE41" s="200">
        <f t="shared" si="8"/>
        <v>-666666.66666666663</v>
      </c>
      <c r="AF41" s="201">
        <f>E1_Projektdaten!$D$48*(AD41-1=E1_Projektdaten!$I$48)*(1+Eing_allg_Teuerung/100)^E1_Projektdaten!$I$48
+E1_Projektdaten!$D$49*(AD41-1=E1_Projektdaten!$I$49)*(1+Eing_allg_Teuerung/100)^E1_Projektdaten!$I$49
+E1_Projektdaten!$D$50*(AD41-1=E1_Projektdaten!$I$50)*(1+Eing_allg_Teuerung/100)^E1_Projektdaten!$I$50
+E1_Projektdaten!$D$51*(AD41-1=E1_Projektdaten!$I$51)*(1+Eing_allg_Teuerung/100)^E1_Projektdaten!$I$51
+E1_Projektdaten!$D$52*(AD41-1=E1_Projektdaten!$I$52)*(1+Eing_allg_Teuerung/100)^E1_Projektdaten!$I$52
+E1_Projektdaten!$D$53*(AD41-1=E1_Projektdaten!$I$53)*(1+Eing_allg_Teuerung/100)^E1_Projektdaten!$I$53
+(Gesamtinvestition-SUM(E1_Projektdaten!$D$54:$D$55))*SUMPRODUCT((E1_Projektdaten!$D$58:$D$60=B41)*E1_Projektdaten!$F$58:$F$60)/100+AF40-N41</f>
        <v>1244666.666666667</v>
      </c>
      <c r="AG41" s="202">
        <f>IF(ISNUMBER(IRR((AJ$36:AJ40,AI41))),IRR((AJ$36:AJ40,AI41)),"-")</f>
        <v>8.3880442014316881E-2</v>
      </c>
      <c r="AH41" s="203">
        <f t="shared" si="9"/>
        <v>2027</v>
      </c>
      <c r="AI41" s="204">
        <f t="shared" si="19"/>
        <v>1326332.019063873</v>
      </c>
      <c r="AJ41" s="204">
        <f t="shared" si="16"/>
        <v>81665.352397205948</v>
      </c>
    </row>
    <row r="42" spans="1:36" ht="12.95" customHeight="1" x14ac:dyDescent="0.2">
      <c r="B42" s="184">
        <f t="shared" si="17"/>
        <v>2028</v>
      </c>
      <c r="C42" s="205">
        <f>(SUMPRODUCT((E3_Verbraucher!$D$21:$XFD$21&lt;B1_Berechnungen!B42)*E3_Verbraucher!$D$18:$XFD$18)+SUMPRODUCT((E3_Verbraucher!$D$21:$XFD$21=B1_Berechnungen!B42)*E3_Verbraucher!$D$18:$XFD$18*E3_Verbraucher!$D$20:$XFD$20))/(100-Eing_Netzverluste)*100*(1-E1_Projektdaten!$D$19/100)^(B1_Berechnungen!B42-E1_Projektdaten!$D$22)</f>
        <v>1995.905043</v>
      </c>
      <c r="D42" s="186">
        <f t="shared" si="1"/>
        <v>96.059601000000001</v>
      </c>
      <c r="E42" s="206">
        <f t="shared" si="2"/>
        <v>99048.917470583168</v>
      </c>
      <c r="F42" s="189">
        <f t="shared" si="3"/>
        <v>31780.40132745984</v>
      </c>
      <c r="G42" s="189">
        <f t="shared" si="4"/>
        <v>6356.0802654919662</v>
      </c>
      <c r="H42" s="189">
        <f>($F$19*(1+$G$19)^(B42-B$36)+$F$20*(1+$G$20)^(B42-B$36))*(B42&gt;=E1_Projektdaten!$D$22)*VLOOKUP(B42,E1_Projektdaten!$D$58:$I$60,6)/100</f>
        <v>19107.362710818001</v>
      </c>
      <c r="I42" s="189">
        <f>$F$21*(1+$G$21)^(B42-B$36)*(B42&gt;=E1_Projektdaten!$D$22)*VLOOKUP(B42,E1_Projektdaten!$D$58:$I$60,6)/100</f>
        <v>25370.331599363904</v>
      </c>
      <c r="J42" s="189">
        <f t="shared" si="10"/>
        <v>18470.450620457403</v>
      </c>
      <c r="K42" s="190"/>
      <c r="L42" s="191"/>
      <c r="M42" s="185">
        <f t="shared" si="5"/>
        <v>15000</v>
      </c>
      <c r="N42" s="188">
        <f>+(E1_Projektdaten!$D$48*(1+Eing_allg_Teuerung/100)^(E1_Projektdaten!$I$48*ROUNDDOWN((AD42-1)/E1_Projektdaten!$I$48,0))/E1_Projektdaten!$I$48
+E1_Projektdaten!$D$49*(1+Eing_allg_Teuerung/100)^(E1_Projektdaten!$I$49*ROUNDDOWN((AD42-1)/E1_Projektdaten!$I$49,0))/E1_Projektdaten!$I$49
+E1_Projektdaten!$D$50*(1+Eing_allg_Teuerung/100)^(E1_Projektdaten!$I$50*ROUNDDOWN((AD42-1)/E1_Projektdaten!$I$50,0))/E1_Projektdaten!$I$50
+E1_Projektdaten!$D$51*(1+Eing_allg_Teuerung/100)^(E1_Projektdaten!$I$51*ROUNDDOWN((AD42-1)/E1_Projektdaten!$I$51,0))/E1_Projektdaten!$I$51
+E1_Projektdaten!$D$52*(1+Eing_allg_Teuerung/100)^(E1_Projektdaten!$I$52*ROUNDDOWN((AD42-1)/E1_Projektdaten!$I$52,0))/E1_Projektdaten!$I$52
+E1_Projektdaten!$D$53*(1+Eing_allg_Teuerung/100)^(E1_Projektdaten!$I$53*ROUNDDOWN((AD42-1)/E1_Projektdaten!$I$53,0))/E1_Projektdaten!$I$53
)*((AD42)&gt;0)*VLOOKUP(B42,E1_Projektdaten!$D$58:$I$60,6
)/100</f>
        <v>43833.333333333343</v>
      </c>
      <c r="O42" s="194">
        <f t="shared" si="11"/>
        <v>258966.87732750765</v>
      </c>
      <c r="P42" s="206">
        <f>SUM((SUMPRODUCT((E3_Verbraucher!$D$21:$XFD$21&lt;B1_Berechnungen!B42)*E3_Verbraucher!$D$25:$XFD$25)+SUMPRODUCT((E3_Verbraucher!$D$21:$XFD$21=B1_Berechnungen!B42)*E3_Verbraucher!$D$25:$XFD$25*E3_Verbraucher!$D$20:$XFD$20))*(1+$G$24)^(B42-B$36),(SUMPRODUCT((E3_Verbraucher!$D$21:$XFD$21&lt;B1_Berechnungen!B42)*E3_Verbraucher!$D$26:$XFD$26)+SUMPRODUCT((E3_Verbraucher!$D$21:$XFD$21=B1_Berechnungen!B42)*E3_Verbraucher!$D$26:$XFD$26*E3_Verbraucher!$D$20:$XFD$20))*((1+$G$24)*(1-E1_Projektdaten!$D$19/100))^(B42-B$36))</f>
        <v>288846.83851148636</v>
      </c>
      <c r="Q42" s="189">
        <f>SUMPRODUCT((E3_Verbraucher!$D$21:$XFD$21=B1_Berechnungen!B42)*E3_Verbraucher!$D$23:$XFD$23)</f>
        <v>0</v>
      </c>
      <c r="R42" s="358">
        <f>SUM(jährlicher_Förderbeitrag*(B42-Erstauszahlung_jährlFörderung&lt;=Eing_Förderung_wiederholend_Laufzeit-1)*(B42&gt;=E1_Projektdaten!$D$83),E1_Projektdaten!$D$76*(B42=E1_Projektdaten!$D$77),E1_Projektdaten!$D$78*(B42=E1_Projektdaten!$D$79))</f>
        <v>10000</v>
      </c>
      <c r="S42" s="190"/>
      <c r="T42" s="193"/>
      <c r="U42" s="194">
        <f t="shared" si="12"/>
        <v>298846.83851148636</v>
      </c>
      <c r="V42" s="195">
        <f t="shared" si="13"/>
        <v>39879.96118397871</v>
      </c>
      <c r="W42" s="194">
        <f t="shared" si="18"/>
        <v>710261.35544348683</v>
      </c>
      <c r="X42" s="188">
        <f>E1_Projektdaten!$D$48*(AD42-1=E1_Projektdaten!$I$48)*(1+Eing_allg_Teuerung/100)^E1_Projektdaten!$I$48
+E1_Projektdaten!$D$49*(AD42-1=E1_Projektdaten!$I$49)*(1+Eing_allg_Teuerung/100)^E1_Projektdaten!$I$49
+E1_Projektdaten!$D$50*(AD42-1=E1_Projektdaten!$I$50)*(1+Eing_allg_Teuerung/100)^E1_Projektdaten!$I$50
+E1_Projektdaten!$D$51*(AD42-1=E1_Projektdaten!$I$51)*(1+Eing_allg_Teuerung/100)^E1_Projektdaten!$I$51
+E1_Projektdaten!$D$52*(AD42-1=E1_Projektdaten!$I$52)*(1+Eing_allg_Teuerung/100)^E1_Projektdaten!$I$52
+E1_Projektdaten!$D$53*(AD42-1=E1_Projektdaten!$I$53)*(1+Eing_allg_Teuerung/100)^E1_Projektdaten!$I$53
+Gesamtinvestition*SUMPRODUCT((E1_Projektdaten!$D$58:$D$60=B42)*E1_Projektdaten!$F$58:$F$60)/100</f>
        <v>0</v>
      </c>
      <c r="Y42" s="196">
        <f t="shared" si="6"/>
        <v>0</v>
      </c>
      <c r="Z42" s="185">
        <f t="shared" si="7"/>
        <v>66666.666666666672</v>
      </c>
      <c r="AA42" s="187">
        <f t="shared" si="14"/>
        <v>17046.627850645382</v>
      </c>
      <c r="AB42" s="197">
        <f t="shared" si="15"/>
        <v>-105571.97788984649</v>
      </c>
      <c r="AC42" s="198"/>
      <c r="AD42" s="199">
        <f>MAX(B1_Berechnungen!B42+1-E1_Projektdaten!$D$22,0)</f>
        <v>5</v>
      </c>
      <c r="AE42" s="200">
        <f t="shared" si="8"/>
        <v>-600000</v>
      </c>
      <c r="AF42" s="201">
        <f>E1_Projektdaten!$D$48*(AD42-1=E1_Projektdaten!$I$48)*(1+Eing_allg_Teuerung/100)^E1_Projektdaten!$I$48
+E1_Projektdaten!$D$49*(AD42-1=E1_Projektdaten!$I$49)*(1+Eing_allg_Teuerung/100)^E1_Projektdaten!$I$49
+E1_Projektdaten!$D$50*(AD42-1=E1_Projektdaten!$I$50)*(1+Eing_allg_Teuerung/100)^E1_Projektdaten!$I$50
+E1_Projektdaten!$D$51*(AD42-1=E1_Projektdaten!$I$51)*(1+Eing_allg_Teuerung/100)^E1_Projektdaten!$I$51
+E1_Projektdaten!$D$52*(AD42-1=E1_Projektdaten!$I$52)*(1+Eing_allg_Teuerung/100)^E1_Projektdaten!$I$52
+E1_Projektdaten!$D$53*(AD42-1=E1_Projektdaten!$I$53)*(1+Eing_allg_Teuerung/100)^E1_Projektdaten!$I$53
+(Gesamtinvestition-SUM(E1_Projektdaten!$D$54:$D$55))*SUMPRODUCT((E1_Projektdaten!$D$58:$D$60=B42)*E1_Projektdaten!$F$58:$F$60)/100+AF41-N42</f>
        <v>1200833.3333333337</v>
      </c>
      <c r="AG42" s="202">
        <f>IF(ISNUMBER(IRR((AJ$36:AJ41,AI42))),IRR((AJ$36:AJ41,AI42)),"-")</f>
        <v>7.5656499199372229E-2</v>
      </c>
      <c r="AH42" s="203">
        <f t="shared" si="9"/>
        <v>2028</v>
      </c>
      <c r="AI42" s="204">
        <f t="shared" si="19"/>
        <v>1284546.6278506457</v>
      </c>
      <c r="AJ42" s="204">
        <f t="shared" si="16"/>
        <v>83713.294517312053</v>
      </c>
    </row>
    <row r="43" spans="1:36" ht="12.95" customHeight="1" x14ac:dyDescent="0.2">
      <c r="B43" s="184">
        <f t="shared" si="17"/>
        <v>2029</v>
      </c>
      <c r="C43" s="205">
        <f>(SUMPRODUCT((E3_Verbraucher!$D$21:$XFD$21&lt;B1_Berechnungen!B43)*E3_Verbraucher!$D$18:$XFD$18)+SUMPRODUCT((E3_Verbraucher!$D$21:$XFD$21=B1_Berechnungen!B43)*E3_Verbraucher!$D$18:$XFD$18*E3_Verbraucher!$D$20:$XFD$20))/(100-Eing_Netzverluste)*100*(1-E1_Projektdaten!$D$19/100)^(B1_Berechnungen!B43-E1_Projektdaten!$D$22)</f>
        <v>1975.9459925699998</v>
      </c>
      <c r="D43" s="186">
        <f t="shared" si="1"/>
        <v>95.099004989999997</v>
      </c>
      <c r="E43" s="206">
        <f t="shared" si="2"/>
        <v>99039.012578836075</v>
      </c>
      <c r="F43" s="189">
        <f t="shared" si="3"/>
        <v>31777.22328732708</v>
      </c>
      <c r="G43" s="189">
        <f t="shared" si="4"/>
        <v>6355.4446574654148</v>
      </c>
      <c r="H43" s="189">
        <f>($F$19*(1+$G$19)^(B43-B$36)+$F$20*(1+$G$20)^(B43-B$36))*(B43&gt;=E1_Projektdaten!$D$22)*VLOOKUP(B43,E1_Projektdaten!$D$58:$I$60,6)/100</f>
        <v>19298.436337926178</v>
      </c>
      <c r="I43" s="189">
        <f>$F$21*(1+$G$21)^(B43-B$36)*(B43&gt;=E1_Projektdaten!$D$22)*VLOOKUP(B43,E1_Projektdaten!$D$58:$I$60,6)/100</f>
        <v>25624.034915357533</v>
      </c>
      <c r="J43" s="189">
        <f t="shared" si="10"/>
        <v>18655.155126661968</v>
      </c>
      <c r="K43" s="190"/>
      <c r="L43" s="191"/>
      <c r="M43" s="185">
        <f t="shared" si="5"/>
        <v>13333.33333333333</v>
      </c>
      <c r="N43" s="188">
        <f>+(E1_Projektdaten!$D$48*(1+Eing_allg_Teuerung/100)^(E1_Projektdaten!$I$48*ROUNDDOWN((AD43-1)/E1_Projektdaten!$I$48,0))/E1_Projektdaten!$I$48
+E1_Projektdaten!$D$49*(1+Eing_allg_Teuerung/100)^(E1_Projektdaten!$I$49*ROUNDDOWN((AD43-1)/E1_Projektdaten!$I$49,0))/E1_Projektdaten!$I$49
+E1_Projektdaten!$D$50*(1+Eing_allg_Teuerung/100)^(E1_Projektdaten!$I$50*ROUNDDOWN((AD43-1)/E1_Projektdaten!$I$50,0))/E1_Projektdaten!$I$50
+E1_Projektdaten!$D$51*(1+Eing_allg_Teuerung/100)^(E1_Projektdaten!$I$51*ROUNDDOWN((AD43-1)/E1_Projektdaten!$I$51,0))/E1_Projektdaten!$I$51
+E1_Projektdaten!$D$52*(1+Eing_allg_Teuerung/100)^(E1_Projektdaten!$I$52*ROUNDDOWN((AD43-1)/E1_Projektdaten!$I$52,0))/E1_Projektdaten!$I$52
+E1_Projektdaten!$D$53*(1+Eing_allg_Teuerung/100)^(E1_Projektdaten!$I$53*ROUNDDOWN((AD43-1)/E1_Projektdaten!$I$53,0))/E1_Projektdaten!$I$53
)*((AD43)&gt;0)*VLOOKUP(B43,E1_Projektdaten!$D$58:$I$60,6
)/100</f>
        <v>43833.333333333343</v>
      </c>
      <c r="O43" s="194">
        <f t="shared" si="11"/>
        <v>257915.97357024092</v>
      </c>
      <c r="P43" s="206">
        <f>SUM((SUMPRODUCT((E3_Verbraucher!$D$21:$XFD$21&lt;B1_Berechnungen!B43)*E3_Verbraucher!$D$25:$XFD$25)+SUMPRODUCT((E3_Verbraucher!$D$21:$XFD$21=B1_Berechnungen!B43)*E3_Verbraucher!$D$25:$XFD$25*E3_Verbraucher!$D$20:$XFD$20))*(1+$G$24)^(B43-B$36),(SUMPRODUCT((E3_Verbraucher!$D$21:$XFD$21&lt;B1_Berechnungen!B43)*E3_Verbraucher!$D$26:$XFD$26)+SUMPRODUCT((E3_Verbraucher!$D$21:$XFD$21=B1_Berechnungen!B43)*E3_Verbraucher!$D$26:$XFD$26*E3_Verbraucher!$D$20:$XFD$20))*((1+$G$24)*(1-E1_Projektdaten!$D$19/100))^(B43-B$36))</f>
        <v>289847.739833334</v>
      </c>
      <c r="Q43" s="189">
        <f>SUMPRODUCT((E3_Verbraucher!$D$21:$XFD$21=B1_Berechnungen!B43)*E3_Verbraucher!$D$23:$XFD$23)</f>
        <v>0</v>
      </c>
      <c r="R43" s="358">
        <f>SUM(jährlicher_Förderbeitrag*(B43-Erstauszahlung_jährlFörderung&lt;=Eing_Förderung_wiederholend_Laufzeit-1)*(B43&gt;=E1_Projektdaten!$D$83),E1_Projektdaten!$D$76*(B43=E1_Projektdaten!$D$77),E1_Projektdaten!$D$78*(B43=E1_Projektdaten!$D$79))</f>
        <v>10000</v>
      </c>
      <c r="S43" s="190"/>
      <c r="T43" s="193"/>
      <c r="U43" s="194">
        <f t="shared" si="12"/>
        <v>299847.739833334</v>
      </c>
      <c r="V43" s="195">
        <f t="shared" si="13"/>
        <v>41931.766263093072</v>
      </c>
      <c r="W43" s="194">
        <f t="shared" si="18"/>
        <v>752193.12170657993</v>
      </c>
      <c r="X43" s="188">
        <f>E1_Projektdaten!$D$48*(AD43-1=E1_Projektdaten!$I$48)*(1+Eing_allg_Teuerung/100)^E1_Projektdaten!$I$48
+E1_Projektdaten!$D$49*(AD43-1=E1_Projektdaten!$I$49)*(1+Eing_allg_Teuerung/100)^E1_Projektdaten!$I$49
+E1_Projektdaten!$D$50*(AD43-1=E1_Projektdaten!$I$50)*(1+Eing_allg_Teuerung/100)^E1_Projektdaten!$I$50
+E1_Projektdaten!$D$51*(AD43-1=E1_Projektdaten!$I$51)*(1+Eing_allg_Teuerung/100)^E1_Projektdaten!$I$51
+E1_Projektdaten!$D$52*(AD43-1=E1_Projektdaten!$I$52)*(1+Eing_allg_Teuerung/100)^E1_Projektdaten!$I$52
+E1_Projektdaten!$D$53*(AD43-1=E1_Projektdaten!$I$53)*(1+Eing_allg_Teuerung/100)^E1_Projektdaten!$I$53
+Gesamtinvestition*SUMPRODUCT((E1_Projektdaten!$D$58:$D$60=B43)*E1_Projektdaten!$F$58:$F$60)/100</f>
        <v>0</v>
      </c>
      <c r="Y43" s="196">
        <f t="shared" si="6"/>
        <v>0</v>
      </c>
      <c r="Z43" s="185">
        <f t="shared" si="7"/>
        <v>66666.666666666672</v>
      </c>
      <c r="AA43" s="187">
        <f t="shared" si="14"/>
        <v>19098.432929759743</v>
      </c>
      <c r="AB43" s="197">
        <f t="shared" si="15"/>
        <v>-86473.544960086743</v>
      </c>
      <c r="AC43" s="198"/>
      <c r="AD43" s="199">
        <f>MAX(B1_Berechnungen!B43+1-E1_Projektdaten!$D$22,0)</f>
        <v>6</v>
      </c>
      <c r="AE43" s="200">
        <f t="shared" si="8"/>
        <v>-533333.33333333326</v>
      </c>
      <c r="AF43" s="201">
        <f>E1_Projektdaten!$D$48*(AD43-1=E1_Projektdaten!$I$48)*(1+Eing_allg_Teuerung/100)^E1_Projektdaten!$I$48
+E1_Projektdaten!$D$49*(AD43-1=E1_Projektdaten!$I$49)*(1+Eing_allg_Teuerung/100)^E1_Projektdaten!$I$49
+E1_Projektdaten!$D$50*(AD43-1=E1_Projektdaten!$I$50)*(1+Eing_allg_Teuerung/100)^E1_Projektdaten!$I$50
+E1_Projektdaten!$D$51*(AD43-1=E1_Projektdaten!$I$51)*(1+Eing_allg_Teuerung/100)^E1_Projektdaten!$I$51
+E1_Projektdaten!$D$52*(AD43-1=E1_Projektdaten!$I$52)*(1+Eing_allg_Teuerung/100)^E1_Projektdaten!$I$52
+E1_Projektdaten!$D$53*(AD43-1=E1_Projektdaten!$I$53)*(1+Eing_allg_Teuerung/100)^E1_Projektdaten!$I$53
+(Gesamtinvestition-SUM(E1_Projektdaten!$D$54:$D$55))*SUMPRODUCT((E1_Projektdaten!$D$58:$D$60=B43)*E1_Projektdaten!$F$58:$F$60)/100+AF42-N43</f>
        <v>1157000.0000000005</v>
      </c>
      <c r="AG43" s="202">
        <f>IF(ISNUMBER(IRR((AJ$36:AJ42,AI43))),IRR((AJ$36:AJ42,AI43)),"-")</f>
        <v>7.0429536777427693E-2</v>
      </c>
      <c r="AH43" s="203">
        <f t="shared" si="9"/>
        <v>2029</v>
      </c>
      <c r="AI43" s="204">
        <f t="shared" si="19"/>
        <v>1242765.0995964268</v>
      </c>
      <c r="AJ43" s="204">
        <f t="shared" si="16"/>
        <v>85765.099596426415</v>
      </c>
    </row>
    <row r="44" spans="1:36" ht="12.95" customHeight="1" x14ac:dyDescent="0.2">
      <c r="B44" s="184">
        <f t="shared" si="17"/>
        <v>2030</v>
      </c>
      <c r="C44" s="205">
        <f>(SUMPRODUCT((E3_Verbraucher!$D$21:$XFD$21&lt;B1_Berechnungen!B44)*E3_Verbraucher!$D$18:$XFD$18)+SUMPRODUCT((E3_Verbraucher!$D$21:$XFD$21=B1_Berechnungen!B44)*E3_Verbraucher!$D$18:$XFD$18*E3_Verbraucher!$D$20:$XFD$20))/(100-Eing_Netzverluste)*100*(1-E1_Projektdaten!$D$19/100)^(B1_Berechnungen!B44-E1_Projektdaten!$D$22)</f>
        <v>1956.1865326442999</v>
      </c>
      <c r="D44" s="186">
        <f t="shared" si="1"/>
        <v>94.148014940099984</v>
      </c>
      <c r="E44" s="206">
        <f t="shared" si="2"/>
        <v>99029.108677578202</v>
      </c>
      <c r="F44" s="189">
        <f t="shared" si="3"/>
        <v>31774.045564998352</v>
      </c>
      <c r="G44" s="189">
        <f t="shared" si="4"/>
        <v>6354.809112999671</v>
      </c>
      <c r="H44" s="189">
        <f>($F$19*(1+$G$19)^(B44-B$36)+$F$20*(1+$G$20)^(B44-B$36))*(B44&gt;=E1_Projektdaten!$D$22)*VLOOKUP(B44,E1_Projektdaten!$D$58:$I$60,6)/100</f>
        <v>19491.420701305444</v>
      </c>
      <c r="I44" s="189">
        <f>$F$21*(1+$G$21)^(B44-B$36)*(B44&gt;=E1_Projektdaten!$D$22)*VLOOKUP(B44,E1_Projektdaten!$D$58:$I$60,6)/100</f>
        <v>25880.275264511118</v>
      </c>
      <c r="J44" s="189">
        <f t="shared" si="10"/>
        <v>18841.706677928596</v>
      </c>
      <c r="K44" s="190"/>
      <c r="L44" s="191"/>
      <c r="M44" s="185">
        <f t="shared" si="5"/>
        <v>16466.666666666664</v>
      </c>
      <c r="N44" s="188">
        <f>+(E1_Projektdaten!$D$48*(1+Eing_allg_Teuerung/100)^(E1_Projektdaten!$I$48*ROUNDDOWN((AD44-1)/E1_Projektdaten!$I$48,0))/E1_Projektdaten!$I$48
+E1_Projektdaten!$D$49*(1+Eing_allg_Teuerung/100)^(E1_Projektdaten!$I$49*ROUNDDOWN((AD44-1)/E1_Projektdaten!$I$49,0))/E1_Projektdaten!$I$49
+E1_Projektdaten!$D$50*(1+Eing_allg_Teuerung/100)^(E1_Projektdaten!$I$50*ROUNDDOWN((AD44-1)/E1_Projektdaten!$I$50,0))/E1_Projektdaten!$I$50
+E1_Projektdaten!$D$51*(1+Eing_allg_Teuerung/100)^(E1_Projektdaten!$I$51*ROUNDDOWN((AD44-1)/E1_Projektdaten!$I$51,0))/E1_Projektdaten!$I$51
+E1_Projektdaten!$D$52*(1+Eing_allg_Teuerung/100)^(E1_Projektdaten!$I$52*ROUNDDOWN((AD44-1)/E1_Projektdaten!$I$52,0))/E1_Projektdaten!$I$52
+E1_Projektdaten!$D$53*(1+Eing_allg_Teuerung/100)^(E1_Projektdaten!$I$53*ROUNDDOWN((AD44-1)/E1_Projektdaten!$I$53,0))/E1_Projektdaten!$I$53
)*((AD44)&gt;0)*VLOOKUP(B44,E1_Projektdaten!$D$58:$I$60,6
)/100</f>
        <v>43833.333333333343</v>
      </c>
      <c r="O44" s="194">
        <f t="shared" si="11"/>
        <v>261671.36599932137</v>
      </c>
      <c r="P44" s="206">
        <f>SUM((SUMPRODUCT((E3_Verbraucher!$D$21:$XFD$21&lt;B1_Berechnungen!B44)*E3_Verbraucher!$D$25:$XFD$25)+SUMPRODUCT((E3_Verbraucher!$D$21:$XFD$21=B1_Berechnungen!B44)*E3_Verbraucher!$D$25:$XFD$25*E3_Verbraucher!$D$20:$XFD$20))*(1+$G$24)^(B44-B$36),(SUMPRODUCT((E3_Verbraucher!$D$21:$XFD$21&lt;B1_Berechnungen!B44)*E3_Verbraucher!$D$26:$XFD$26)+SUMPRODUCT((E3_Verbraucher!$D$21:$XFD$21=B1_Berechnungen!B44)*E3_Verbraucher!$D$26:$XFD$26*E3_Verbraucher!$D$20:$XFD$20))*((1+$G$24)*(1-E1_Projektdaten!$D$19/100))^(B44-B$36))</f>
        <v>290858.83892510645</v>
      </c>
      <c r="Q44" s="189">
        <f>SUMPRODUCT((E3_Verbraucher!$D$21:$XFD$21=B1_Berechnungen!B44)*E3_Verbraucher!$D$23:$XFD$23)</f>
        <v>0</v>
      </c>
      <c r="R44" s="358">
        <f>SUM(jährlicher_Förderbeitrag*(B44-Erstauszahlung_jährlFörderung&lt;=Eing_Förderung_wiederholend_Laufzeit-1)*(B44&gt;=E1_Projektdaten!$D$83),E1_Projektdaten!$D$76*(B44=E1_Projektdaten!$D$77),E1_Projektdaten!$D$78*(B44=E1_Projektdaten!$D$79))</f>
        <v>10000</v>
      </c>
      <c r="S44" s="190"/>
      <c r="T44" s="193"/>
      <c r="U44" s="194">
        <f t="shared" si="12"/>
        <v>300858.83892510645</v>
      </c>
      <c r="V44" s="195">
        <f t="shared" si="13"/>
        <v>39187.472925785085</v>
      </c>
      <c r="W44" s="194">
        <f t="shared" si="18"/>
        <v>791380.59463236504</v>
      </c>
      <c r="X44" s="188">
        <f>E1_Projektdaten!$D$48*(AD44-1=E1_Projektdaten!$I$48)*(1+Eing_allg_Teuerung/100)^E1_Projektdaten!$I$48
+E1_Projektdaten!$D$49*(AD44-1=E1_Projektdaten!$I$49)*(1+Eing_allg_Teuerung/100)^E1_Projektdaten!$I$49
+E1_Projektdaten!$D$50*(AD44-1=E1_Projektdaten!$I$50)*(1+Eing_allg_Teuerung/100)^E1_Projektdaten!$I$50
+E1_Projektdaten!$D$51*(AD44-1=E1_Projektdaten!$I$51)*(1+Eing_allg_Teuerung/100)^E1_Projektdaten!$I$51
+E1_Projektdaten!$D$52*(AD44-1=E1_Projektdaten!$I$52)*(1+Eing_allg_Teuerung/100)^E1_Projektdaten!$I$52
+E1_Projektdaten!$D$53*(AD44-1=E1_Projektdaten!$I$53)*(1+Eing_allg_Teuerung/100)^E1_Projektdaten!$I$53
+Gesamtinvestition*SUMPRODUCT((E1_Projektdaten!$D$58:$D$60=B44)*E1_Projektdaten!$F$58:$F$60)/100</f>
        <v>0</v>
      </c>
      <c r="Y44" s="196">
        <f t="shared" si="6"/>
        <v>120000</v>
      </c>
      <c r="Z44" s="185">
        <f t="shared" si="7"/>
        <v>66666.666666666672</v>
      </c>
      <c r="AA44" s="187">
        <f t="shared" si="14"/>
        <v>136354.13959245174</v>
      </c>
      <c r="AB44" s="197">
        <f t="shared" si="15"/>
        <v>49880.594632364999</v>
      </c>
      <c r="AC44" s="198"/>
      <c r="AD44" s="199">
        <f>MAX(B1_Berechnungen!B44+1-E1_Projektdaten!$D$22,0)</f>
        <v>7</v>
      </c>
      <c r="AE44" s="200">
        <f t="shared" si="8"/>
        <v>-586666.66666666663</v>
      </c>
      <c r="AF44" s="201">
        <f>E1_Projektdaten!$D$48*(AD44-1=E1_Projektdaten!$I$48)*(1+Eing_allg_Teuerung/100)^E1_Projektdaten!$I$48
+E1_Projektdaten!$D$49*(AD44-1=E1_Projektdaten!$I$49)*(1+Eing_allg_Teuerung/100)^E1_Projektdaten!$I$49
+E1_Projektdaten!$D$50*(AD44-1=E1_Projektdaten!$I$50)*(1+Eing_allg_Teuerung/100)^E1_Projektdaten!$I$50
+E1_Projektdaten!$D$51*(AD44-1=E1_Projektdaten!$I$51)*(1+Eing_allg_Teuerung/100)^E1_Projektdaten!$I$51
+E1_Projektdaten!$D$52*(AD44-1=E1_Projektdaten!$I$52)*(1+Eing_allg_Teuerung/100)^E1_Projektdaten!$I$52
+E1_Projektdaten!$D$53*(AD44-1=E1_Projektdaten!$I$53)*(1+Eing_allg_Teuerung/100)^E1_Projektdaten!$I$53
+(Gesamtinvestition-SUM(E1_Projektdaten!$D$54:$D$55))*SUMPRODUCT((E1_Projektdaten!$D$58:$D$60=B44)*E1_Projektdaten!$F$58:$F$60)/100+AF43-N44</f>
        <v>1113166.6666666672</v>
      </c>
      <c r="AG44" s="202">
        <f>IF(ISNUMBER(IRR((AJ$36:AJ43,AI44))),IRR((AJ$36:AJ43,AI44)),"-")</f>
        <v>6.6547080855730023E-2</v>
      </c>
      <c r="AH44" s="203">
        <f t="shared" si="9"/>
        <v>2030</v>
      </c>
      <c r="AI44" s="204">
        <f t="shared" si="19"/>
        <v>1196187.4729257857</v>
      </c>
      <c r="AJ44" s="204">
        <f t="shared" si="16"/>
        <v>83020.806259118428</v>
      </c>
    </row>
    <row r="45" spans="1:36" ht="12.95" customHeight="1" x14ac:dyDescent="0.2">
      <c r="B45" s="184">
        <f t="shared" si="17"/>
        <v>2031</v>
      </c>
      <c r="C45" s="205">
        <f>(SUMPRODUCT((E3_Verbraucher!$D$21:$XFD$21&lt;B1_Berechnungen!B45)*E3_Verbraucher!$D$18:$XFD$18)+SUMPRODUCT((E3_Verbraucher!$D$21:$XFD$21=B1_Berechnungen!B45)*E3_Verbraucher!$D$18:$XFD$18*E3_Verbraucher!$D$20:$XFD$20))/(100-Eing_Netzverluste)*100*(1-E1_Projektdaten!$D$19/100)^(B1_Berechnungen!B45-E1_Projektdaten!$D$22)</f>
        <v>1936.6246673178568</v>
      </c>
      <c r="D45" s="186">
        <f t="shared" si="1"/>
        <v>93.206534790698996</v>
      </c>
      <c r="E45" s="206">
        <f t="shared" si="2"/>
        <v>99019.205766710467</v>
      </c>
      <c r="F45" s="189">
        <f t="shared" si="3"/>
        <v>31770.86816044186</v>
      </c>
      <c r="G45" s="189">
        <f t="shared" si="4"/>
        <v>6354.1736320883701</v>
      </c>
      <c r="H45" s="189">
        <f>($F$19*(1+$G$19)^(B45-B$36)+$F$20*(1+$G$20)^(B45-B$36))*(B45&gt;=E1_Projektdaten!$D$22)*VLOOKUP(B45,E1_Projektdaten!$D$58:$I$60,6)/100</f>
        <v>19686.334908318502</v>
      </c>
      <c r="I45" s="189">
        <f>$F$21*(1+$G$21)^(B45-B$36)*(B45&gt;=E1_Projektdaten!$D$22)*VLOOKUP(B45,E1_Projektdaten!$D$58:$I$60,6)/100</f>
        <v>26139.078017156233</v>
      </c>
      <c r="J45" s="189">
        <f t="shared" si="10"/>
        <v>19030.123744707882</v>
      </c>
      <c r="K45" s="190"/>
      <c r="L45" s="191"/>
      <c r="M45" s="185">
        <f t="shared" si="5"/>
        <v>13840</v>
      </c>
      <c r="N45" s="188">
        <f>+(E1_Projektdaten!$D$48*(1+Eing_allg_Teuerung/100)^(E1_Projektdaten!$I$48*ROUNDDOWN((AD45-1)/E1_Projektdaten!$I$48,0))/E1_Projektdaten!$I$48
+E1_Projektdaten!$D$49*(1+Eing_allg_Teuerung/100)^(E1_Projektdaten!$I$49*ROUNDDOWN((AD45-1)/E1_Projektdaten!$I$49,0))/E1_Projektdaten!$I$49
+E1_Projektdaten!$D$50*(1+Eing_allg_Teuerung/100)^(E1_Projektdaten!$I$50*ROUNDDOWN((AD45-1)/E1_Projektdaten!$I$50,0))/E1_Projektdaten!$I$50
+E1_Projektdaten!$D$51*(1+Eing_allg_Teuerung/100)^(E1_Projektdaten!$I$51*ROUNDDOWN((AD45-1)/E1_Projektdaten!$I$51,0))/E1_Projektdaten!$I$51
+E1_Projektdaten!$D$52*(1+Eing_allg_Teuerung/100)^(E1_Projektdaten!$I$52*ROUNDDOWN((AD45-1)/E1_Projektdaten!$I$52,0))/E1_Projektdaten!$I$52
+E1_Projektdaten!$D$53*(1+Eing_allg_Teuerung/100)^(E1_Projektdaten!$I$53*ROUNDDOWN((AD45-1)/E1_Projektdaten!$I$53,0))/E1_Projektdaten!$I$53
)*((AD45)&gt;0)*VLOOKUP(B45,E1_Projektdaten!$D$58:$I$60,6
)/100</f>
        <v>43833.333333333343</v>
      </c>
      <c r="O45" s="194">
        <f t="shared" si="11"/>
        <v>259673.11756275664</v>
      </c>
      <c r="P45" s="206">
        <f>SUM((SUMPRODUCT((E3_Verbraucher!$D$21:$XFD$21&lt;B1_Berechnungen!B45)*E3_Verbraucher!$D$25:$XFD$25)+SUMPRODUCT((E3_Verbraucher!$D$21:$XFD$21=B1_Berechnungen!B45)*E3_Verbraucher!$D$25:$XFD$25*E3_Verbraucher!$D$20:$XFD$20))*(1+$G$24)^(B45-B$36),(SUMPRODUCT((E3_Verbraucher!$D$21:$XFD$21&lt;B1_Berechnungen!B45)*E3_Verbraucher!$D$26:$XFD$26)+SUMPRODUCT((E3_Verbraucher!$D$21:$XFD$21=B1_Berechnungen!B45)*E3_Verbraucher!$D$26:$XFD$26*E3_Verbraucher!$D$20:$XFD$20))*((1+$G$24)*(1-E1_Projektdaten!$D$19/100))^(B45-B$36))</f>
        <v>291880.2377456273</v>
      </c>
      <c r="Q45" s="189">
        <f>SUMPRODUCT((E3_Verbraucher!$D$21:$XFD$21=B1_Berechnungen!B45)*E3_Verbraucher!$D$23:$XFD$23)</f>
        <v>0</v>
      </c>
      <c r="R45" s="358">
        <f>SUM(jährlicher_Förderbeitrag*(B45-Erstauszahlung_jährlFörderung&lt;=Eing_Förderung_wiederholend_Laufzeit-1)*(B45&gt;=E1_Projektdaten!$D$83),E1_Projektdaten!$D$76*(B45=E1_Projektdaten!$D$77),E1_Projektdaten!$D$78*(B45=E1_Projektdaten!$D$79))</f>
        <v>10000</v>
      </c>
      <c r="S45" s="190"/>
      <c r="T45" s="193"/>
      <c r="U45" s="194">
        <f t="shared" si="12"/>
        <v>301880.2377456273</v>
      </c>
      <c r="V45" s="195">
        <f t="shared" si="13"/>
        <v>42207.120182870654</v>
      </c>
      <c r="W45" s="194">
        <f t="shared" si="18"/>
        <v>833587.7148152357</v>
      </c>
      <c r="X45" s="188">
        <f>E1_Projektdaten!$D$48*(AD45-1=E1_Projektdaten!$I$48)*(1+Eing_allg_Teuerung/100)^E1_Projektdaten!$I$48
+E1_Projektdaten!$D$49*(AD45-1=E1_Projektdaten!$I$49)*(1+Eing_allg_Teuerung/100)^E1_Projektdaten!$I$49
+E1_Projektdaten!$D$50*(AD45-1=E1_Projektdaten!$I$50)*(1+Eing_allg_Teuerung/100)^E1_Projektdaten!$I$50
+E1_Projektdaten!$D$51*(AD45-1=E1_Projektdaten!$I$51)*(1+Eing_allg_Teuerung/100)^E1_Projektdaten!$I$51
+E1_Projektdaten!$D$52*(AD45-1=E1_Projektdaten!$I$52)*(1+Eing_allg_Teuerung/100)^E1_Projektdaten!$I$52
+E1_Projektdaten!$D$53*(AD45-1=E1_Projektdaten!$I$53)*(1+Eing_allg_Teuerung/100)^E1_Projektdaten!$I$53
+Gesamtinvestition*SUMPRODUCT((E1_Projektdaten!$D$58:$D$60=B45)*E1_Projektdaten!$F$58:$F$60)/100</f>
        <v>0</v>
      </c>
      <c r="Y45" s="196">
        <f t="shared" si="6"/>
        <v>0</v>
      </c>
      <c r="Z45" s="185">
        <f t="shared" si="7"/>
        <v>90666.666666666672</v>
      </c>
      <c r="AA45" s="187">
        <f t="shared" si="14"/>
        <v>-4626.2131504626741</v>
      </c>
      <c r="AB45" s="197">
        <f t="shared" si="15"/>
        <v>45254.381481902325</v>
      </c>
      <c r="AC45" s="198"/>
      <c r="AD45" s="182">
        <f>MAX(B1_Berechnungen!B45+1-E1_Projektdaten!$D$22,0)</f>
        <v>8</v>
      </c>
      <c r="AE45" s="200">
        <f t="shared" si="8"/>
        <v>-496000</v>
      </c>
      <c r="AF45" s="201">
        <f>E1_Projektdaten!$D$48*(AD45-1=E1_Projektdaten!$I$48)*(1+Eing_allg_Teuerung/100)^E1_Projektdaten!$I$48
+E1_Projektdaten!$D$49*(AD45-1=E1_Projektdaten!$I$49)*(1+Eing_allg_Teuerung/100)^E1_Projektdaten!$I$49
+E1_Projektdaten!$D$50*(AD45-1=E1_Projektdaten!$I$50)*(1+Eing_allg_Teuerung/100)^E1_Projektdaten!$I$50
+E1_Projektdaten!$D$51*(AD45-1=E1_Projektdaten!$I$51)*(1+Eing_allg_Teuerung/100)^E1_Projektdaten!$I$51
+E1_Projektdaten!$D$52*(AD45-1=E1_Projektdaten!$I$52)*(1+Eing_allg_Teuerung/100)^E1_Projektdaten!$I$52
+E1_Projektdaten!$D$53*(AD45-1=E1_Projektdaten!$I$53)*(1+Eing_allg_Teuerung/100)^E1_Projektdaten!$I$53
+(Gesamtinvestition-SUM(E1_Projektdaten!$D$54:$D$55))*SUMPRODUCT((E1_Projektdaten!$D$58:$D$60=B45)*E1_Projektdaten!$F$58:$F$60)/100+AF44-N45</f>
        <v>1069333.333333334</v>
      </c>
      <c r="AG45" s="202">
        <f>IF(ISNUMBER(IRR((AJ$36:AJ44,AI45))),IRR((AJ$36:AJ44,AI45)),"-")</f>
        <v>6.3989813902800341E-2</v>
      </c>
      <c r="AH45" s="203">
        <f t="shared" si="9"/>
        <v>2031</v>
      </c>
      <c r="AI45" s="204">
        <f t="shared" si="19"/>
        <v>1155373.7868495379</v>
      </c>
      <c r="AJ45" s="204">
        <f t="shared" si="16"/>
        <v>86040.453516203997</v>
      </c>
    </row>
    <row r="46" spans="1:36" ht="12.95" customHeight="1" x14ac:dyDescent="0.2">
      <c r="B46" s="184">
        <f t="shared" si="17"/>
        <v>2032</v>
      </c>
      <c r="C46" s="205">
        <f>(SUMPRODUCT((E3_Verbraucher!$D$21:$XFD$21&lt;B1_Berechnungen!B46)*E3_Verbraucher!$D$18:$XFD$18)+SUMPRODUCT((E3_Verbraucher!$D$21:$XFD$21=B1_Berechnungen!B46)*E3_Verbraucher!$D$18:$XFD$18*E3_Verbraucher!$D$20:$XFD$20))/(100-Eing_Netzverluste)*100*(1-E1_Projektdaten!$D$19/100)^(B1_Berechnungen!B46-E1_Projektdaten!$D$22)</f>
        <v>1917.2584206446782</v>
      </c>
      <c r="D46" s="186">
        <f t="shared" si="1"/>
        <v>92.274469442791997</v>
      </c>
      <c r="E46" s="206">
        <f t="shared" si="2"/>
        <v>99009.303846133786</v>
      </c>
      <c r="F46" s="189">
        <f t="shared" si="3"/>
        <v>31767.691073625811</v>
      </c>
      <c r="G46" s="189">
        <f t="shared" si="4"/>
        <v>6353.5382147251612</v>
      </c>
      <c r="H46" s="189">
        <f>($F$19*(1+$G$19)^(B46-B$36)+$F$20*(1+$G$20)^(B46-B$36))*(B46&gt;=E1_Projektdaten!$D$22)*VLOOKUP(B46,E1_Projektdaten!$D$58:$I$60,6)/100</f>
        <v>19883.198257401684</v>
      </c>
      <c r="I46" s="189">
        <f>$F$21*(1+$G$21)^(B46-B$36)*(B46&gt;=E1_Projektdaten!$D$22)*VLOOKUP(B46,E1_Projektdaten!$D$58:$I$60,6)/100</f>
        <v>26400.468797327791</v>
      </c>
      <c r="J46" s="189">
        <f t="shared" si="10"/>
        <v>19220.424982154964</v>
      </c>
      <c r="K46" s="190"/>
      <c r="L46" s="191"/>
      <c r="M46" s="185">
        <f t="shared" si="5"/>
        <v>11213.333333333332</v>
      </c>
      <c r="N46" s="188">
        <f>+(E1_Projektdaten!$D$48*(1+Eing_allg_Teuerung/100)^(E1_Projektdaten!$I$48*ROUNDDOWN((AD46-1)/E1_Projektdaten!$I$48,0))/E1_Projektdaten!$I$48
+E1_Projektdaten!$D$49*(1+Eing_allg_Teuerung/100)^(E1_Projektdaten!$I$49*ROUNDDOWN((AD46-1)/E1_Projektdaten!$I$49,0))/E1_Projektdaten!$I$49
+E1_Projektdaten!$D$50*(1+Eing_allg_Teuerung/100)^(E1_Projektdaten!$I$50*ROUNDDOWN((AD46-1)/E1_Projektdaten!$I$50,0))/E1_Projektdaten!$I$50
+E1_Projektdaten!$D$51*(1+Eing_allg_Teuerung/100)^(E1_Projektdaten!$I$51*ROUNDDOWN((AD46-1)/E1_Projektdaten!$I$51,0))/E1_Projektdaten!$I$51
+E1_Projektdaten!$D$52*(1+Eing_allg_Teuerung/100)^(E1_Projektdaten!$I$52*ROUNDDOWN((AD46-1)/E1_Projektdaten!$I$52,0))/E1_Projektdaten!$I$52
+E1_Projektdaten!$D$53*(1+Eing_allg_Teuerung/100)^(E1_Projektdaten!$I$53*ROUNDDOWN((AD46-1)/E1_Projektdaten!$I$53,0))/E1_Projektdaten!$I$53
)*((AD46)&gt;0)*VLOOKUP(B46,E1_Projektdaten!$D$58:$I$60,6
)/100</f>
        <v>43833.333333333343</v>
      </c>
      <c r="O46" s="194">
        <f t="shared" si="11"/>
        <v>257681.29183803586</v>
      </c>
      <c r="P46" s="206">
        <f>SUM((SUMPRODUCT((E3_Verbraucher!$D$21:$XFD$21&lt;B1_Berechnungen!B46)*E3_Verbraucher!$D$25:$XFD$25)+SUMPRODUCT((E3_Verbraucher!$D$21:$XFD$21=B1_Berechnungen!B46)*E3_Verbraucher!$D$25:$XFD$25*E3_Verbraucher!$D$20:$XFD$20))*(1+$G$24)^(B46-B$36),(SUMPRODUCT((E3_Verbraucher!$D$21:$XFD$21&lt;B1_Berechnungen!B46)*E3_Verbraucher!$D$26:$XFD$26)+SUMPRODUCT((E3_Verbraucher!$D$21:$XFD$21=B1_Berechnungen!B46)*E3_Verbraucher!$D$26:$XFD$26*E3_Verbraucher!$D$20:$XFD$20))*((1+$G$24)*(1-E1_Projektdaten!$D$19/100))^(B46-B$36))</f>
        <v>292912.03927331022</v>
      </c>
      <c r="Q46" s="189">
        <f>SUMPRODUCT((E3_Verbraucher!$D$21:$XFD$21=B1_Berechnungen!B46)*E3_Verbraucher!$D$23:$XFD$23)</f>
        <v>0</v>
      </c>
      <c r="R46" s="358">
        <f>SUM(jährlicher_Förderbeitrag*(B46-Erstauszahlung_jährlFörderung&lt;=Eing_Förderung_wiederholend_Laufzeit-1)*(B46&gt;=E1_Projektdaten!$D$83),E1_Projektdaten!$D$76*(B46=E1_Projektdaten!$D$77),E1_Projektdaten!$D$78*(B46=E1_Projektdaten!$D$79))</f>
        <v>10000</v>
      </c>
      <c r="S46" s="190"/>
      <c r="T46" s="193"/>
      <c r="U46" s="194">
        <f t="shared" si="12"/>
        <v>302912.03927331022</v>
      </c>
      <c r="V46" s="195">
        <f t="shared" si="13"/>
        <v>45230.747435274359</v>
      </c>
      <c r="W46" s="194">
        <f t="shared" si="18"/>
        <v>878818.46225051</v>
      </c>
      <c r="X46" s="188">
        <f>E1_Projektdaten!$D$48*(AD46-1=E1_Projektdaten!$I$48)*(1+Eing_allg_Teuerung/100)^E1_Projektdaten!$I$48
+E1_Projektdaten!$D$49*(AD46-1=E1_Projektdaten!$I$49)*(1+Eing_allg_Teuerung/100)^E1_Projektdaten!$I$49
+E1_Projektdaten!$D$50*(AD46-1=E1_Projektdaten!$I$50)*(1+Eing_allg_Teuerung/100)^E1_Projektdaten!$I$50
+E1_Projektdaten!$D$51*(AD46-1=E1_Projektdaten!$I$51)*(1+Eing_allg_Teuerung/100)^E1_Projektdaten!$I$51
+E1_Projektdaten!$D$52*(AD46-1=E1_Projektdaten!$I$52)*(1+Eing_allg_Teuerung/100)^E1_Projektdaten!$I$52
+E1_Projektdaten!$D$53*(AD46-1=E1_Projektdaten!$I$53)*(1+Eing_allg_Teuerung/100)^E1_Projektdaten!$I$53
+Gesamtinvestition*SUMPRODUCT((E1_Projektdaten!$D$58:$D$60=B46)*E1_Projektdaten!$F$58:$F$60)/100</f>
        <v>0</v>
      </c>
      <c r="Y46" s="196">
        <f t="shared" si="6"/>
        <v>0</v>
      </c>
      <c r="Z46" s="185">
        <f t="shared" si="7"/>
        <v>90666.666666666672</v>
      </c>
      <c r="AA46" s="187">
        <f t="shared" si="14"/>
        <v>-1602.5858980589692</v>
      </c>
      <c r="AB46" s="197">
        <f t="shared" si="15"/>
        <v>43651.795583843355</v>
      </c>
      <c r="AC46" s="198"/>
      <c r="AD46" s="199">
        <f>MAX(B1_Berechnungen!B46+1-E1_Projektdaten!$D$22,0)</f>
        <v>9</v>
      </c>
      <c r="AE46" s="200">
        <f t="shared" si="8"/>
        <v>-405333.33333333326</v>
      </c>
      <c r="AF46" s="201">
        <f>E1_Projektdaten!$D$48*(AD46-1=E1_Projektdaten!$I$48)*(1+Eing_allg_Teuerung/100)^E1_Projektdaten!$I$48
+E1_Projektdaten!$D$49*(AD46-1=E1_Projektdaten!$I$49)*(1+Eing_allg_Teuerung/100)^E1_Projektdaten!$I$49
+E1_Projektdaten!$D$50*(AD46-1=E1_Projektdaten!$I$50)*(1+Eing_allg_Teuerung/100)^E1_Projektdaten!$I$50
+E1_Projektdaten!$D$51*(AD46-1=E1_Projektdaten!$I$51)*(1+Eing_allg_Teuerung/100)^E1_Projektdaten!$I$51
+E1_Projektdaten!$D$52*(AD46-1=E1_Projektdaten!$I$52)*(1+Eing_allg_Teuerung/100)^E1_Projektdaten!$I$52
+E1_Projektdaten!$D$53*(AD46-1=E1_Projektdaten!$I$53)*(1+Eing_allg_Teuerung/100)^E1_Projektdaten!$I$53
+(Gesamtinvestition-SUM(E1_Projektdaten!$D$54:$D$55))*SUMPRODUCT((E1_Projektdaten!$D$58:$D$60=B46)*E1_Projektdaten!$F$58:$F$60)/100+AF45-N46</f>
        <v>1025500.0000000006</v>
      </c>
      <c r="AG46" s="202">
        <f>IF(ISNUMBER(IRR((AJ$36:AJ45,AI46))),IRR((AJ$36:AJ45,AI46)),"-")</f>
        <v>6.2344265962196443E-2</v>
      </c>
      <c r="AH46" s="203">
        <f t="shared" si="9"/>
        <v>2032</v>
      </c>
      <c r="AI46" s="204">
        <f t="shared" si="19"/>
        <v>1114564.0807686083</v>
      </c>
      <c r="AJ46" s="204">
        <f t="shared" si="16"/>
        <v>89064.080768607702</v>
      </c>
    </row>
    <row r="47" spans="1:36" ht="12.95" customHeight="1" x14ac:dyDescent="0.2">
      <c r="B47" s="184">
        <f t="shared" si="17"/>
        <v>2033</v>
      </c>
      <c r="C47" s="205">
        <f>(SUMPRODUCT((E3_Verbraucher!$D$21:$XFD$21&lt;B1_Berechnungen!B47)*E3_Verbraucher!$D$18:$XFD$18)+SUMPRODUCT((E3_Verbraucher!$D$21:$XFD$21=B1_Berechnungen!B47)*E3_Verbraucher!$D$18:$XFD$18*E3_Verbraucher!$D$20:$XFD$20))/(100-Eing_Netzverluste)*100*(1-E1_Projektdaten!$D$19/100)^(B1_Berechnungen!B47-E1_Projektdaten!$D$22)</f>
        <v>1898.0858364382314</v>
      </c>
      <c r="D47" s="186">
        <f t="shared" si="1"/>
        <v>91.351724748364077</v>
      </c>
      <c r="E47" s="206">
        <f t="shared" si="2"/>
        <v>98999.40291574916</v>
      </c>
      <c r="F47" s="189">
        <f t="shared" si="3"/>
        <v>31764.514304518441</v>
      </c>
      <c r="G47" s="189">
        <f t="shared" si="4"/>
        <v>6352.9028609036886</v>
      </c>
      <c r="H47" s="189">
        <f>($F$19*(1+$G$19)^(B47-B$36)+$F$20*(1+$G$20)^(B47-B$36))*(B47&gt;=E1_Projektdaten!$D$22)*VLOOKUP(B47,E1_Projektdaten!$D$58:$I$60,6)/100</f>
        <v>20082.030239975698</v>
      </c>
      <c r="I47" s="189">
        <f>$F$21*(1+$G$21)^(B47-B$36)*(B47&gt;=E1_Projektdaten!$D$22)*VLOOKUP(B47,E1_Projektdaten!$D$58:$I$60,6)/100</f>
        <v>26664.473485301067</v>
      </c>
      <c r="J47" s="189">
        <f t="shared" si="10"/>
        <v>19412.629231976509</v>
      </c>
      <c r="K47" s="190"/>
      <c r="L47" s="191"/>
      <c r="M47" s="185">
        <f t="shared" si="5"/>
        <v>8586.6666666666642</v>
      </c>
      <c r="N47" s="188">
        <f>+(E1_Projektdaten!$D$48*(1+Eing_allg_Teuerung/100)^(E1_Projektdaten!$I$48*ROUNDDOWN((AD47-1)/E1_Projektdaten!$I$48,0))/E1_Projektdaten!$I$48
+E1_Projektdaten!$D$49*(1+Eing_allg_Teuerung/100)^(E1_Projektdaten!$I$49*ROUNDDOWN((AD47-1)/E1_Projektdaten!$I$49,0))/E1_Projektdaten!$I$49
+E1_Projektdaten!$D$50*(1+Eing_allg_Teuerung/100)^(E1_Projektdaten!$I$50*ROUNDDOWN((AD47-1)/E1_Projektdaten!$I$50,0))/E1_Projektdaten!$I$50
+E1_Projektdaten!$D$51*(1+Eing_allg_Teuerung/100)^(E1_Projektdaten!$I$51*ROUNDDOWN((AD47-1)/E1_Projektdaten!$I$51,0))/E1_Projektdaten!$I$51
+E1_Projektdaten!$D$52*(1+Eing_allg_Teuerung/100)^(E1_Projektdaten!$I$52*ROUNDDOWN((AD47-1)/E1_Projektdaten!$I$52,0))/E1_Projektdaten!$I$52
+E1_Projektdaten!$D$53*(1+Eing_allg_Teuerung/100)^(E1_Projektdaten!$I$53*ROUNDDOWN((AD47-1)/E1_Projektdaten!$I$53,0))/E1_Projektdaten!$I$53
)*((AD47)&gt;0)*VLOOKUP(B47,E1_Projektdaten!$D$58:$I$60,6
)/100</f>
        <v>43833.333333333343</v>
      </c>
      <c r="O47" s="194">
        <f t="shared" si="11"/>
        <v>255695.95303842457</v>
      </c>
      <c r="P47" s="206">
        <f>SUM((SUMPRODUCT((E3_Verbraucher!$D$21:$XFD$21&lt;B1_Berechnungen!B47)*E3_Verbraucher!$D$25:$XFD$25)+SUMPRODUCT((E3_Verbraucher!$D$21:$XFD$21=B1_Berechnungen!B47)*E3_Verbraucher!$D$25:$XFD$25*E3_Verbraucher!$D$20:$XFD$20))*(1+$G$24)^(B47-B$36),(SUMPRODUCT((E3_Verbraucher!$D$21:$XFD$21&lt;B1_Berechnungen!B47)*E3_Verbraucher!$D$26:$XFD$26)+SUMPRODUCT((E3_Verbraucher!$D$21:$XFD$21=B1_Berechnungen!B47)*E3_Verbraucher!$D$26:$XFD$26*E3_Verbraucher!$D$20:$XFD$20))*((1+$G$24)*(1-E1_Projektdaten!$D$19/100))^(B47-B$36))</f>
        <v>293954.34751635487</v>
      </c>
      <c r="Q47" s="189">
        <f>SUMPRODUCT((E3_Verbraucher!$D$21:$XFD$21=B1_Berechnungen!B47)*E3_Verbraucher!$D$23:$XFD$23)</f>
        <v>0</v>
      </c>
      <c r="R47" s="358">
        <f>SUM(jährlicher_Förderbeitrag*(B47-Erstauszahlung_jährlFörderung&lt;=Eing_Förderung_wiederholend_Laufzeit-1)*(B47&gt;=E1_Projektdaten!$D$83),E1_Projektdaten!$D$76*(B47=E1_Projektdaten!$D$77),E1_Projektdaten!$D$78*(B47=E1_Projektdaten!$D$79))</f>
        <v>10000</v>
      </c>
      <c r="S47" s="190"/>
      <c r="T47" s="193"/>
      <c r="U47" s="194">
        <f t="shared" si="12"/>
        <v>303954.34751635487</v>
      </c>
      <c r="V47" s="195">
        <f t="shared" si="13"/>
        <v>48258.394477930298</v>
      </c>
      <c r="W47" s="194">
        <f t="shared" si="18"/>
        <v>927076.85672844027</v>
      </c>
      <c r="X47" s="188">
        <f>E1_Projektdaten!$D$48*(AD47-1=E1_Projektdaten!$I$48)*(1+Eing_allg_Teuerung/100)^E1_Projektdaten!$I$48
+E1_Projektdaten!$D$49*(AD47-1=E1_Projektdaten!$I$49)*(1+Eing_allg_Teuerung/100)^E1_Projektdaten!$I$49
+E1_Projektdaten!$D$50*(AD47-1=E1_Projektdaten!$I$50)*(1+Eing_allg_Teuerung/100)^E1_Projektdaten!$I$50
+E1_Projektdaten!$D$51*(AD47-1=E1_Projektdaten!$I$51)*(1+Eing_allg_Teuerung/100)^E1_Projektdaten!$I$51
+E1_Projektdaten!$D$52*(AD47-1=E1_Projektdaten!$I$52)*(1+Eing_allg_Teuerung/100)^E1_Projektdaten!$I$52
+E1_Projektdaten!$D$53*(AD47-1=E1_Projektdaten!$I$53)*(1+Eing_allg_Teuerung/100)^E1_Projektdaten!$I$53
+Gesamtinvestition*SUMPRODUCT((E1_Projektdaten!$D$58:$D$60=B47)*E1_Projektdaten!$F$58:$F$60)/100</f>
        <v>0</v>
      </c>
      <c r="Y47" s="196">
        <f t="shared" si="6"/>
        <v>0</v>
      </c>
      <c r="Z47" s="185">
        <f t="shared" si="7"/>
        <v>90666.666666666672</v>
      </c>
      <c r="AA47" s="187">
        <f t="shared" si="14"/>
        <v>1425.0611445969698</v>
      </c>
      <c r="AB47" s="197">
        <f t="shared" si="15"/>
        <v>45076.856728440325</v>
      </c>
      <c r="AC47" s="198"/>
      <c r="AD47" s="199">
        <f>MAX(B1_Berechnungen!B47+1-E1_Projektdaten!$D$22,0)</f>
        <v>10</v>
      </c>
      <c r="AE47" s="200">
        <f t="shared" si="8"/>
        <v>-314666.66666666663</v>
      </c>
      <c r="AF47" s="201">
        <f>E1_Projektdaten!$D$48*(AD47-1=E1_Projektdaten!$I$48)*(1+Eing_allg_Teuerung/100)^E1_Projektdaten!$I$48
+E1_Projektdaten!$D$49*(AD47-1=E1_Projektdaten!$I$49)*(1+Eing_allg_Teuerung/100)^E1_Projektdaten!$I$49
+E1_Projektdaten!$D$50*(AD47-1=E1_Projektdaten!$I$50)*(1+Eing_allg_Teuerung/100)^E1_Projektdaten!$I$50
+E1_Projektdaten!$D$51*(AD47-1=E1_Projektdaten!$I$51)*(1+Eing_allg_Teuerung/100)^E1_Projektdaten!$I$51
+E1_Projektdaten!$D$52*(AD47-1=E1_Projektdaten!$I$52)*(1+Eing_allg_Teuerung/100)^E1_Projektdaten!$I$52
+E1_Projektdaten!$D$53*(AD47-1=E1_Projektdaten!$I$53)*(1+Eing_allg_Teuerung/100)^E1_Projektdaten!$I$53
+(Gesamtinvestition-SUM(E1_Projektdaten!$D$54:$D$55))*SUMPRODUCT((E1_Projektdaten!$D$58:$D$60=B47)*E1_Projektdaten!$F$58:$F$60)/100+AF46-N47</f>
        <v>981666.66666666721</v>
      </c>
      <c r="AG47" s="202">
        <f>IF(ISNUMBER(IRR((AJ$36:AJ46,AI47))),IRR((AJ$36:AJ46,AI47)),"-")</f>
        <v>6.1352874384108746E-2</v>
      </c>
      <c r="AH47" s="203">
        <f t="shared" si="9"/>
        <v>2033</v>
      </c>
      <c r="AI47" s="204">
        <f t="shared" si="19"/>
        <v>1073758.3944779309</v>
      </c>
      <c r="AJ47" s="204">
        <f t="shared" si="16"/>
        <v>92091.727811263641</v>
      </c>
    </row>
    <row r="48" spans="1:36" ht="12.95" customHeight="1" x14ac:dyDescent="0.2">
      <c r="B48" s="184">
        <f t="shared" si="17"/>
        <v>2034</v>
      </c>
      <c r="C48" s="205">
        <f>(SUMPRODUCT((E3_Verbraucher!$D$21:$XFD$21&lt;B1_Berechnungen!B48)*E3_Verbraucher!$D$18:$XFD$18)+SUMPRODUCT((E3_Verbraucher!$D$21:$XFD$21=B1_Berechnungen!B48)*E3_Verbraucher!$D$18:$XFD$18*E3_Verbraucher!$D$20:$XFD$20))/(100-Eing_Netzverluste)*100*(1-E1_Projektdaten!$D$19/100)^(B1_Berechnungen!B48-E1_Projektdaten!$D$22)</f>
        <v>1879.104978073849</v>
      </c>
      <c r="D48" s="186">
        <f t="shared" si="1"/>
        <v>90.438207500880424</v>
      </c>
      <c r="E48" s="206">
        <f t="shared" si="2"/>
        <v>98989.502975457566</v>
      </c>
      <c r="F48" s="189">
        <f t="shared" si="3"/>
        <v>31761.337853087985</v>
      </c>
      <c r="G48" s="189">
        <f t="shared" si="4"/>
        <v>6352.2675706175978</v>
      </c>
      <c r="H48" s="189">
        <f>($F$19*(1+$G$19)^(B48-B$36)+$F$20*(1+$G$20)^(B48-B$36))*(B48&gt;=E1_Projektdaten!$D$22)*VLOOKUP(B48,E1_Projektdaten!$D$58:$I$60,6)/100</f>
        <v>20282.850542375454</v>
      </c>
      <c r="I48" s="189">
        <f>$F$21*(1+$G$21)^(B48-B$36)*(B48&gt;=E1_Projektdaten!$D$22)*VLOOKUP(B48,E1_Projektdaten!$D$58:$I$60,6)/100</f>
        <v>26931.118220154076</v>
      </c>
      <c r="J48" s="189">
        <f t="shared" si="10"/>
        <v>19606.755524296277</v>
      </c>
      <c r="K48" s="190"/>
      <c r="L48" s="191"/>
      <c r="M48" s="185">
        <f t="shared" si="5"/>
        <v>5960</v>
      </c>
      <c r="N48" s="188">
        <f>+(E1_Projektdaten!$D$48*(1+Eing_allg_Teuerung/100)^(E1_Projektdaten!$I$48*ROUNDDOWN((AD48-1)/E1_Projektdaten!$I$48,0))/E1_Projektdaten!$I$48
+E1_Projektdaten!$D$49*(1+Eing_allg_Teuerung/100)^(E1_Projektdaten!$I$49*ROUNDDOWN((AD48-1)/E1_Projektdaten!$I$49,0))/E1_Projektdaten!$I$49
+E1_Projektdaten!$D$50*(1+Eing_allg_Teuerung/100)^(E1_Projektdaten!$I$50*ROUNDDOWN((AD48-1)/E1_Projektdaten!$I$50,0))/E1_Projektdaten!$I$50
+E1_Projektdaten!$D$51*(1+Eing_allg_Teuerung/100)^(E1_Projektdaten!$I$51*ROUNDDOWN((AD48-1)/E1_Projektdaten!$I$51,0))/E1_Projektdaten!$I$51
+E1_Projektdaten!$D$52*(1+Eing_allg_Teuerung/100)^(E1_Projektdaten!$I$52*ROUNDDOWN((AD48-1)/E1_Projektdaten!$I$52,0))/E1_Projektdaten!$I$52
+E1_Projektdaten!$D$53*(1+Eing_allg_Teuerung/100)^(E1_Projektdaten!$I$53*ROUNDDOWN((AD48-1)/E1_Projektdaten!$I$53,0))/E1_Projektdaten!$I$53
)*((AD48)&gt;0)*VLOOKUP(B48,E1_Projektdaten!$D$58:$I$60,6
)/100</f>
        <v>43833.333333333343</v>
      </c>
      <c r="O48" s="194">
        <f t="shared" si="11"/>
        <v>253717.16601932229</v>
      </c>
      <c r="P48" s="206">
        <f>SUM((SUMPRODUCT((E3_Verbraucher!$D$21:$XFD$21&lt;B1_Berechnungen!B48)*E3_Verbraucher!$D$25:$XFD$25)+SUMPRODUCT((E3_Verbraucher!$D$21:$XFD$21=B1_Berechnungen!B48)*E3_Verbraucher!$D$25:$XFD$25*E3_Verbraucher!$D$20:$XFD$20))*(1+$G$24)^(B48-B$36),(SUMPRODUCT((E3_Verbraucher!$D$21:$XFD$21&lt;B1_Berechnungen!B48)*E3_Verbraucher!$D$26:$XFD$26)+SUMPRODUCT((E3_Verbraucher!$D$21:$XFD$21=B1_Berechnungen!B48)*E3_Verbraucher!$D$26:$XFD$26*E3_Verbraucher!$D$20:$XFD$20))*((1+$G$24)*(1-E1_Projektdaten!$D$19/100))^(B48-B$36))</f>
        <v>295007.26752304501</v>
      </c>
      <c r="Q48" s="189">
        <f>SUMPRODUCT((E3_Verbraucher!$D$21:$XFD$21=B1_Berechnungen!B48)*E3_Verbraucher!$D$23:$XFD$23)</f>
        <v>0</v>
      </c>
      <c r="R48" s="358">
        <f>SUM(jährlicher_Förderbeitrag*(B48-Erstauszahlung_jährlFörderung&lt;=Eing_Förderung_wiederholend_Laufzeit-1)*(B48&gt;=E1_Projektdaten!$D$83),E1_Projektdaten!$D$76*(B48=E1_Projektdaten!$D$77),E1_Projektdaten!$D$78*(B48=E1_Projektdaten!$D$79))</f>
        <v>10000</v>
      </c>
      <c r="S48" s="190"/>
      <c r="T48" s="193"/>
      <c r="U48" s="194">
        <f t="shared" si="12"/>
        <v>305007.26752304501</v>
      </c>
      <c r="V48" s="195">
        <f t="shared" si="13"/>
        <v>51290.101503722719</v>
      </c>
      <c r="W48" s="194">
        <f t="shared" si="18"/>
        <v>978366.95823216299</v>
      </c>
      <c r="X48" s="188">
        <f>E1_Projektdaten!$D$48*(AD48-1=E1_Projektdaten!$I$48)*(1+Eing_allg_Teuerung/100)^E1_Projektdaten!$I$48
+E1_Projektdaten!$D$49*(AD48-1=E1_Projektdaten!$I$49)*(1+Eing_allg_Teuerung/100)^E1_Projektdaten!$I$49
+E1_Projektdaten!$D$50*(AD48-1=E1_Projektdaten!$I$50)*(1+Eing_allg_Teuerung/100)^E1_Projektdaten!$I$50
+E1_Projektdaten!$D$51*(AD48-1=E1_Projektdaten!$I$51)*(1+Eing_allg_Teuerung/100)^E1_Projektdaten!$I$51
+E1_Projektdaten!$D$52*(AD48-1=E1_Projektdaten!$I$52)*(1+Eing_allg_Teuerung/100)^E1_Projektdaten!$I$52
+E1_Projektdaten!$D$53*(AD48-1=E1_Projektdaten!$I$53)*(1+Eing_allg_Teuerung/100)^E1_Projektdaten!$I$53
+Gesamtinvestition*SUMPRODUCT((E1_Projektdaten!$D$58:$D$60=B48)*E1_Projektdaten!$F$58:$F$60)/100</f>
        <v>0</v>
      </c>
      <c r="Y48" s="196">
        <f t="shared" si="6"/>
        <v>0</v>
      </c>
      <c r="Z48" s="185">
        <f t="shared" si="7"/>
        <v>90666.666666666672</v>
      </c>
      <c r="AA48" s="187">
        <f t="shared" si="14"/>
        <v>4456.7681703893904</v>
      </c>
      <c r="AB48" s="197">
        <f t="shared" si="15"/>
        <v>49533.624898829716</v>
      </c>
      <c r="AC48" s="198"/>
      <c r="AD48" s="199">
        <f>MAX(B1_Berechnungen!B48+1-E1_Projektdaten!$D$22,0)</f>
        <v>11</v>
      </c>
      <c r="AE48" s="200">
        <f t="shared" si="8"/>
        <v>-224000</v>
      </c>
      <c r="AF48" s="201">
        <f>E1_Projektdaten!$D$48*(AD48-1=E1_Projektdaten!$I$48)*(1+Eing_allg_Teuerung/100)^E1_Projektdaten!$I$48
+E1_Projektdaten!$D$49*(AD48-1=E1_Projektdaten!$I$49)*(1+Eing_allg_Teuerung/100)^E1_Projektdaten!$I$49
+E1_Projektdaten!$D$50*(AD48-1=E1_Projektdaten!$I$50)*(1+Eing_allg_Teuerung/100)^E1_Projektdaten!$I$50
+E1_Projektdaten!$D$51*(AD48-1=E1_Projektdaten!$I$51)*(1+Eing_allg_Teuerung/100)^E1_Projektdaten!$I$51
+E1_Projektdaten!$D$52*(AD48-1=E1_Projektdaten!$I$52)*(1+Eing_allg_Teuerung/100)^E1_Projektdaten!$I$52
+E1_Projektdaten!$D$53*(AD48-1=E1_Projektdaten!$I$53)*(1+Eing_allg_Teuerung/100)^E1_Projektdaten!$I$53
+(Gesamtinvestition-SUM(E1_Projektdaten!$D$54:$D$55))*SUMPRODUCT((E1_Projektdaten!$D$58:$D$60=B48)*E1_Projektdaten!$F$58:$F$60)/100+AF47-N48</f>
        <v>937833.33333333384</v>
      </c>
      <c r="AG48" s="202">
        <f>IF(ISNUMBER(IRR((AJ$36:AJ47,AI48))),IRR((AJ$36:AJ47,AI48)),"-")</f>
        <v>6.0845869800040475E-2</v>
      </c>
      <c r="AH48" s="203">
        <f t="shared" si="9"/>
        <v>2034</v>
      </c>
      <c r="AI48" s="204">
        <f t="shared" si="19"/>
        <v>1032956.7681703899</v>
      </c>
      <c r="AJ48" s="204">
        <f t="shared" si="16"/>
        <v>95123.434837056062</v>
      </c>
    </row>
    <row r="49" spans="2:36" ht="12.95" customHeight="1" x14ac:dyDescent="0.2">
      <c r="B49" s="184">
        <f t="shared" si="17"/>
        <v>2035</v>
      </c>
      <c r="C49" s="205">
        <f>(SUMPRODUCT((E3_Verbraucher!$D$21:$XFD$21&lt;B1_Berechnungen!B49)*E3_Verbraucher!$D$18:$XFD$18)+SUMPRODUCT((E3_Verbraucher!$D$21:$XFD$21=B1_Berechnungen!B49)*E3_Verbraucher!$D$18:$XFD$18*E3_Verbraucher!$D$20:$XFD$20))/(100-Eing_Netzverluste)*100*(1-E1_Projektdaten!$D$19/100)^(B1_Berechnungen!B49-E1_Projektdaten!$D$22)</f>
        <v>1860.3139282931106</v>
      </c>
      <c r="D49" s="186">
        <f t="shared" si="1"/>
        <v>89.533825425871626</v>
      </c>
      <c r="E49" s="206">
        <f t="shared" si="2"/>
        <v>98979.60402516005</v>
      </c>
      <c r="F49" s="189">
        <f t="shared" si="3"/>
        <v>31758.161719302683</v>
      </c>
      <c r="G49" s="189">
        <f t="shared" si="4"/>
        <v>6351.6323438605368</v>
      </c>
      <c r="H49" s="189">
        <f>($F$19*(1+$G$19)^(B49-B$36)+$F$20*(1+$G$20)^(B49-B$36))*(B49&gt;=E1_Projektdaten!$D$22)*VLOOKUP(B49,E1_Projektdaten!$D$58:$I$60,6)/100</f>
        <v>20485.679047799211</v>
      </c>
      <c r="I49" s="189">
        <f>$F$21*(1+$G$21)^(B49-B$36)*(B49&gt;=E1_Projektdaten!$D$22)*VLOOKUP(B49,E1_Projektdaten!$D$58:$I$60,6)/100</f>
        <v>27200.429402355618</v>
      </c>
      <c r="J49" s="189">
        <f t="shared" si="10"/>
        <v>19802.823079539237</v>
      </c>
      <c r="K49" s="190"/>
      <c r="L49" s="191"/>
      <c r="M49" s="185">
        <f t="shared" si="5"/>
        <v>3333.3333333333312</v>
      </c>
      <c r="N49" s="188">
        <f>+(E1_Projektdaten!$D$48*(1+Eing_allg_Teuerung/100)^(E1_Projektdaten!$I$48*ROUNDDOWN((AD49-1)/E1_Projektdaten!$I$48,0))/E1_Projektdaten!$I$48
+E1_Projektdaten!$D$49*(1+Eing_allg_Teuerung/100)^(E1_Projektdaten!$I$49*ROUNDDOWN((AD49-1)/E1_Projektdaten!$I$49,0))/E1_Projektdaten!$I$49
+E1_Projektdaten!$D$50*(1+Eing_allg_Teuerung/100)^(E1_Projektdaten!$I$50*ROUNDDOWN((AD49-1)/E1_Projektdaten!$I$50,0))/E1_Projektdaten!$I$50
+E1_Projektdaten!$D$51*(1+Eing_allg_Teuerung/100)^(E1_Projektdaten!$I$51*ROUNDDOWN((AD49-1)/E1_Projektdaten!$I$51,0))/E1_Projektdaten!$I$51
+E1_Projektdaten!$D$52*(1+Eing_allg_Teuerung/100)^(E1_Projektdaten!$I$52*ROUNDDOWN((AD49-1)/E1_Projektdaten!$I$52,0))/E1_Projektdaten!$I$52
+E1_Projektdaten!$D$53*(1+Eing_allg_Teuerung/100)^(E1_Projektdaten!$I$53*ROUNDDOWN((AD49-1)/E1_Projektdaten!$I$53,0))/E1_Projektdaten!$I$53
)*((AD49)&gt;0)*VLOOKUP(B49,E1_Projektdaten!$D$58:$I$60,6
)/100</f>
        <v>43833.333333333343</v>
      </c>
      <c r="O49" s="194">
        <f t="shared" si="11"/>
        <v>251744.99628468402</v>
      </c>
      <c r="P49" s="206">
        <f>SUM((SUMPRODUCT((E3_Verbraucher!$D$21:$XFD$21&lt;B1_Berechnungen!B49)*E3_Verbraucher!$D$25:$XFD$25)+SUMPRODUCT((E3_Verbraucher!$D$21:$XFD$21=B1_Berechnungen!B49)*E3_Verbraucher!$D$25:$XFD$25*E3_Verbraucher!$D$20:$XFD$20))*(1+$G$24)^(B49-B$36),(SUMPRODUCT((E3_Verbraucher!$D$21:$XFD$21&lt;B1_Berechnungen!B49)*E3_Verbraucher!$D$26:$XFD$26)+SUMPRODUCT((E3_Verbraucher!$D$21:$XFD$21=B1_Berechnungen!B49)*E3_Verbraucher!$D$26:$XFD$26*E3_Verbraucher!$D$20:$XFD$20))*((1+$G$24)*(1-E1_Projektdaten!$D$19/100))^(B49-B$36))</f>
        <v>296070.90539214888</v>
      </c>
      <c r="Q49" s="189">
        <f>SUMPRODUCT((E3_Verbraucher!$D$21:$XFD$21=B1_Berechnungen!B49)*E3_Verbraucher!$D$23:$XFD$23)</f>
        <v>0</v>
      </c>
      <c r="R49" s="358">
        <f>SUM(jährlicher_Förderbeitrag*(B49-Erstauszahlung_jährlFörderung&lt;=Eing_Förderung_wiederholend_Laufzeit-1)*(B49&gt;=E1_Projektdaten!$D$83),E1_Projektdaten!$D$76*(B49=E1_Projektdaten!$D$77),E1_Projektdaten!$D$78*(B49=E1_Projektdaten!$D$79))</f>
        <v>10000</v>
      </c>
      <c r="S49" s="190"/>
      <c r="T49" s="193"/>
      <c r="U49" s="194">
        <f t="shared" si="12"/>
        <v>306070.90539214888</v>
      </c>
      <c r="V49" s="195">
        <f t="shared" si="13"/>
        <v>54325.90910746486</v>
      </c>
      <c r="W49" s="194">
        <f t="shared" si="18"/>
        <v>1032692.8673396278</v>
      </c>
      <c r="X49" s="188">
        <f>E1_Projektdaten!$D$48*(AD49-1=E1_Projektdaten!$I$48)*(1+Eing_allg_Teuerung/100)^E1_Projektdaten!$I$48
+E1_Projektdaten!$D$49*(AD49-1=E1_Projektdaten!$I$49)*(1+Eing_allg_Teuerung/100)^E1_Projektdaten!$I$49
+E1_Projektdaten!$D$50*(AD49-1=E1_Projektdaten!$I$50)*(1+Eing_allg_Teuerung/100)^E1_Projektdaten!$I$50
+E1_Projektdaten!$D$51*(AD49-1=E1_Projektdaten!$I$51)*(1+Eing_allg_Teuerung/100)^E1_Projektdaten!$I$51
+E1_Projektdaten!$D$52*(AD49-1=E1_Projektdaten!$I$52)*(1+Eing_allg_Teuerung/100)^E1_Projektdaten!$I$52
+E1_Projektdaten!$D$53*(AD49-1=E1_Projektdaten!$I$53)*(1+Eing_allg_Teuerung/100)^E1_Projektdaten!$I$53
+Gesamtinvestition*SUMPRODUCT((E1_Projektdaten!$D$58:$D$60=B49)*E1_Projektdaten!$F$58:$F$60)/100</f>
        <v>0</v>
      </c>
      <c r="Y49" s="196">
        <f t="shared" si="6"/>
        <v>0</v>
      </c>
      <c r="Z49" s="185">
        <f t="shared" si="7"/>
        <v>90666.666666666672</v>
      </c>
      <c r="AA49" s="187">
        <f t="shared" si="14"/>
        <v>7492.5757741315319</v>
      </c>
      <c r="AB49" s="197">
        <f t="shared" si="15"/>
        <v>57026.200672961248</v>
      </c>
      <c r="AC49" s="198"/>
      <c r="AD49" s="199">
        <f>MAX(B1_Berechnungen!B49+1-E1_Projektdaten!$D$22,0)</f>
        <v>12</v>
      </c>
      <c r="AE49" s="200">
        <f t="shared" si="8"/>
        <v>-133333.33333333326</v>
      </c>
      <c r="AF49" s="201">
        <f>E1_Projektdaten!$D$48*(AD49-1=E1_Projektdaten!$I$48)*(1+Eing_allg_Teuerung/100)^E1_Projektdaten!$I$48
+E1_Projektdaten!$D$49*(AD49-1=E1_Projektdaten!$I$49)*(1+Eing_allg_Teuerung/100)^E1_Projektdaten!$I$49
+E1_Projektdaten!$D$50*(AD49-1=E1_Projektdaten!$I$50)*(1+Eing_allg_Teuerung/100)^E1_Projektdaten!$I$50
+E1_Projektdaten!$D$51*(AD49-1=E1_Projektdaten!$I$51)*(1+Eing_allg_Teuerung/100)^E1_Projektdaten!$I$51
+E1_Projektdaten!$D$52*(AD49-1=E1_Projektdaten!$I$52)*(1+Eing_allg_Teuerung/100)^E1_Projektdaten!$I$52
+E1_Projektdaten!$D$53*(AD49-1=E1_Projektdaten!$I$53)*(1+Eing_allg_Teuerung/100)^E1_Projektdaten!$I$53
+(Gesamtinvestition-SUM(E1_Projektdaten!$D$54:$D$55))*SUMPRODUCT((E1_Projektdaten!$D$58:$D$60=B49)*E1_Projektdaten!$F$58:$F$60)/100+AF48-N49</f>
        <v>894000.00000000047</v>
      </c>
      <c r="AG49" s="202">
        <f>IF(ISNUMBER(IRR((AJ$36:AJ48,AI49))),IRR((AJ$36:AJ48,AI49)),"-")</f>
        <v>6.0705983306456934E-2</v>
      </c>
      <c r="AH49" s="203">
        <f t="shared" si="9"/>
        <v>2035</v>
      </c>
      <c r="AI49" s="204">
        <f t="shared" si="19"/>
        <v>992159.24244079867</v>
      </c>
      <c r="AJ49" s="204">
        <f t="shared" si="16"/>
        <v>98159.242440798203</v>
      </c>
    </row>
    <row r="50" spans="2:36" ht="12.95" customHeight="1" x14ac:dyDescent="0.2">
      <c r="B50" s="184">
        <f t="shared" si="17"/>
        <v>2036</v>
      </c>
      <c r="C50" s="205">
        <f>(SUMPRODUCT((E3_Verbraucher!$D$21:$XFD$21&lt;B1_Berechnungen!B50)*E3_Verbraucher!$D$18:$XFD$18)+SUMPRODUCT((E3_Verbraucher!$D$21:$XFD$21=B1_Berechnungen!B50)*E3_Verbraucher!$D$18:$XFD$18*E3_Verbraucher!$D$20:$XFD$20))/(100-Eing_Netzverluste)*100*(1-E1_Projektdaten!$D$19/100)^(B1_Berechnungen!B50-E1_Projektdaten!$D$22)</f>
        <v>1841.7107890101795</v>
      </c>
      <c r="D50" s="186">
        <f t="shared" si="1"/>
        <v>88.638487171612908</v>
      </c>
      <c r="E50" s="206">
        <f t="shared" si="2"/>
        <v>98969.706064757527</v>
      </c>
      <c r="F50" s="189">
        <f t="shared" si="3"/>
        <v>31754.985903130757</v>
      </c>
      <c r="G50" s="189">
        <f t="shared" si="4"/>
        <v>6350.997180626151</v>
      </c>
      <c r="H50" s="189">
        <f>($F$19*(1+$G$19)^(B50-B$36)+$F$20*(1+$G$20)^(B50-B$36))*(B50&gt;=E1_Projektdaten!$D$22)*VLOOKUP(B50,E1_Projektdaten!$D$58:$I$60,6)/100</f>
        <v>20690.535838277206</v>
      </c>
      <c r="I50" s="189">
        <f>$F$21*(1+$G$21)^(B50-B$36)*(B50&gt;=E1_Projektdaten!$D$22)*VLOOKUP(B50,E1_Projektdaten!$D$58:$I$60,6)/100</f>
        <v>27472.433696379176</v>
      </c>
      <c r="J50" s="189">
        <f t="shared" si="10"/>
        <v>20000.851310334634</v>
      </c>
      <c r="K50" s="190"/>
      <c r="L50" s="191"/>
      <c r="M50" s="185">
        <f t="shared" si="5"/>
        <v>1666.6666666666656</v>
      </c>
      <c r="N50" s="188">
        <f>+(E1_Projektdaten!$D$48*(1+Eing_allg_Teuerung/100)^(E1_Projektdaten!$I$48*ROUNDDOWN((AD50-1)/E1_Projektdaten!$I$48,0))/E1_Projektdaten!$I$48
+E1_Projektdaten!$D$49*(1+Eing_allg_Teuerung/100)^(E1_Projektdaten!$I$49*ROUNDDOWN((AD50-1)/E1_Projektdaten!$I$49,0))/E1_Projektdaten!$I$49
+E1_Projektdaten!$D$50*(1+Eing_allg_Teuerung/100)^(E1_Projektdaten!$I$50*ROUNDDOWN((AD50-1)/E1_Projektdaten!$I$50,0))/E1_Projektdaten!$I$50
+E1_Projektdaten!$D$51*(1+Eing_allg_Teuerung/100)^(E1_Projektdaten!$I$51*ROUNDDOWN((AD50-1)/E1_Projektdaten!$I$51,0))/E1_Projektdaten!$I$51
+E1_Projektdaten!$D$52*(1+Eing_allg_Teuerung/100)^(E1_Projektdaten!$I$52*ROUNDDOWN((AD50-1)/E1_Projektdaten!$I$52,0))/E1_Projektdaten!$I$52
+E1_Projektdaten!$D$53*(1+Eing_allg_Teuerung/100)^(E1_Projektdaten!$I$53*ROUNDDOWN((AD50-1)/E1_Projektdaten!$I$53,0))/E1_Projektdaten!$I$53
)*((AD50)&gt;0)*VLOOKUP(B50,E1_Projektdaten!$D$58:$I$60,6
)/100</f>
        <v>43833.333333333343</v>
      </c>
      <c r="O50" s="194">
        <f t="shared" si="11"/>
        <v>250739.50999350546</v>
      </c>
      <c r="P50" s="206">
        <f>SUM((SUMPRODUCT((E3_Verbraucher!$D$21:$XFD$21&lt;B1_Berechnungen!B50)*E3_Verbraucher!$D$25:$XFD$25)+SUMPRODUCT((E3_Verbraucher!$D$21:$XFD$21=B1_Berechnungen!B50)*E3_Verbraucher!$D$25:$XFD$25*E3_Verbraucher!$D$20:$XFD$20))*(1+$G$24)^(B50-B$36),(SUMPRODUCT((E3_Verbraucher!$D$21:$XFD$21&lt;B1_Berechnungen!B50)*E3_Verbraucher!$D$26:$XFD$26)+SUMPRODUCT((E3_Verbraucher!$D$21:$XFD$21=B1_Berechnungen!B50)*E3_Verbraucher!$D$26:$XFD$26*E3_Verbraucher!$D$20:$XFD$20))*((1+$G$24)*(1-E1_Projektdaten!$D$19/100))^(B50-B$36))</f>
        <v>297145.36828342447</v>
      </c>
      <c r="Q50" s="189">
        <f>SUMPRODUCT((E3_Verbraucher!$D$21:$XFD$21=B1_Berechnungen!B50)*E3_Verbraucher!$D$23:$XFD$23)</f>
        <v>0</v>
      </c>
      <c r="R50" s="358">
        <f>SUM(jährlicher_Förderbeitrag*(B50-Erstauszahlung_jährlFörderung&lt;=Eing_Förderung_wiederholend_Laufzeit-1)*(B50&gt;=E1_Projektdaten!$D$83),E1_Projektdaten!$D$76*(B50=E1_Projektdaten!$D$77),E1_Projektdaten!$D$78*(B50=E1_Projektdaten!$D$79))</f>
        <v>10000</v>
      </c>
      <c r="S50" s="190"/>
      <c r="T50" s="193"/>
      <c r="U50" s="194">
        <f t="shared" si="12"/>
        <v>307145.36828342447</v>
      </c>
      <c r="V50" s="195">
        <f t="shared" si="13"/>
        <v>56405.858289919008</v>
      </c>
      <c r="W50" s="194">
        <f t="shared" si="18"/>
        <v>1089098.7256295469</v>
      </c>
      <c r="X50" s="188">
        <f>E1_Projektdaten!$D$48*(AD50-1=E1_Projektdaten!$I$48)*(1+Eing_allg_Teuerung/100)^E1_Projektdaten!$I$48
+E1_Projektdaten!$D$49*(AD50-1=E1_Projektdaten!$I$49)*(1+Eing_allg_Teuerung/100)^E1_Projektdaten!$I$49
+E1_Projektdaten!$D$50*(AD50-1=E1_Projektdaten!$I$50)*(1+Eing_allg_Teuerung/100)^E1_Projektdaten!$I$50
+E1_Projektdaten!$D$51*(AD50-1=E1_Projektdaten!$I$51)*(1+Eing_allg_Teuerung/100)^E1_Projektdaten!$I$51
+E1_Projektdaten!$D$52*(AD50-1=E1_Projektdaten!$I$52)*(1+Eing_allg_Teuerung/100)^E1_Projektdaten!$I$52
+E1_Projektdaten!$D$53*(AD50-1=E1_Projektdaten!$I$53)*(1+Eing_allg_Teuerung/100)^E1_Projektdaten!$I$53
+Gesamtinvestition*SUMPRODUCT((E1_Projektdaten!$D$58:$D$60=B50)*E1_Projektdaten!$F$58:$F$60)/100</f>
        <v>0</v>
      </c>
      <c r="Y50" s="196">
        <f t="shared" si="6"/>
        <v>0</v>
      </c>
      <c r="Z50" s="185">
        <f t="shared" si="7"/>
        <v>66666.666666666672</v>
      </c>
      <c r="AA50" s="187">
        <f t="shared" si="14"/>
        <v>33572.524956585679</v>
      </c>
      <c r="AB50" s="197">
        <f t="shared" si="15"/>
        <v>90598.725629546927</v>
      </c>
      <c r="AC50" s="198"/>
      <c r="AD50" s="199">
        <f>MAX(B1_Berechnungen!B50+1-E1_Projektdaten!$D$22,0)</f>
        <v>13</v>
      </c>
      <c r="AE50" s="200">
        <f t="shared" si="8"/>
        <v>-66666.666666666628</v>
      </c>
      <c r="AF50" s="201">
        <f>E1_Projektdaten!$D$48*(AD50-1=E1_Projektdaten!$I$48)*(1+Eing_allg_Teuerung/100)^E1_Projektdaten!$I$48
+E1_Projektdaten!$D$49*(AD50-1=E1_Projektdaten!$I$49)*(1+Eing_allg_Teuerung/100)^E1_Projektdaten!$I$49
+E1_Projektdaten!$D$50*(AD50-1=E1_Projektdaten!$I$50)*(1+Eing_allg_Teuerung/100)^E1_Projektdaten!$I$50
+E1_Projektdaten!$D$51*(AD50-1=E1_Projektdaten!$I$51)*(1+Eing_allg_Teuerung/100)^E1_Projektdaten!$I$51
+E1_Projektdaten!$D$52*(AD50-1=E1_Projektdaten!$I$52)*(1+Eing_allg_Teuerung/100)^E1_Projektdaten!$I$52
+E1_Projektdaten!$D$53*(AD50-1=E1_Projektdaten!$I$53)*(1+Eing_allg_Teuerung/100)^E1_Projektdaten!$I$53
+(Gesamtinvestition-SUM(E1_Projektdaten!$D$54:$D$55))*SUMPRODUCT((E1_Projektdaten!$D$58:$D$60=B50)*E1_Projektdaten!$F$58:$F$60)/100+AF49-N50</f>
        <v>850166.66666666709</v>
      </c>
      <c r="AG50" s="202">
        <f>IF(ISNUMBER(IRR((AJ$36:AJ49,AI50))),IRR((AJ$36:AJ49,AI50)),"-")</f>
        <v>6.0804597795596438E-2</v>
      </c>
      <c r="AH50" s="203">
        <f t="shared" si="9"/>
        <v>2036</v>
      </c>
      <c r="AI50" s="204">
        <f t="shared" si="19"/>
        <v>950405.85828991944</v>
      </c>
      <c r="AJ50" s="204">
        <f t="shared" si="16"/>
        <v>100239.19162325235</v>
      </c>
    </row>
    <row r="51" spans="2:36" ht="12.95" customHeight="1" x14ac:dyDescent="0.2">
      <c r="B51" s="184">
        <f t="shared" si="17"/>
        <v>2037</v>
      </c>
      <c r="C51" s="205">
        <f>(SUMPRODUCT((E3_Verbraucher!$D$21:$XFD$21&lt;B1_Berechnungen!B51)*E3_Verbraucher!$D$18:$XFD$18)+SUMPRODUCT((E3_Verbraucher!$D$21:$XFD$21=B1_Berechnungen!B51)*E3_Verbraucher!$D$18:$XFD$18*E3_Verbraucher!$D$20:$XFD$20))/(100-Eing_Netzverluste)*100*(1-E1_Projektdaten!$D$19/100)^(B1_Berechnungen!B51-E1_Projektdaten!$D$22)</f>
        <v>1823.2936811200775</v>
      </c>
      <c r="D51" s="186">
        <f t="shared" si="1"/>
        <v>87.752102299896777</v>
      </c>
      <c r="E51" s="206">
        <f t="shared" si="2"/>
        <v>98959.809094151031</v>
      </c>
      <c r="F51" s="189">
        <f t="shared" si="3"/>
        <v>31751.810404540433</v>
      </c>
      <c r="G51" s="189">
        <f t="shared" si="4"/>
        <v>6350.3620809080867</v>
      </c>
      <c r="H51" s="189">
        <f>($F$19*(1+$G$19)^(B51-B$36)+$F$20*(1+$G$20)^(B51-B$36))*(B51&gt;=E1_Projektdaten!$D$22)*VLOOKUP(B51,E1_Projektdaten!$D$58:$I$60,6)/100</f>
        <v>20897.441196659973</v>
      </c>
      <c r="I51" s="189">
        <f>$F$21*(1+$G$21)^(B51-B$36)*(B51&gt;=E1_Projektdaten!$D$22)*VLOOKUP(B51,E1_Projektdaten!$D$58:$I$60,6)/100</f>
        <v>27747.158033342963</v>
      </c>
      <c r="J51" s="189">
        <f t="shared" si="10"/>
        <v>20200.859823437971</v>
      </c>
      <c r="K51" s="190"/>
      <c r="L51" s="191"/>
      <c r="M51" s="185">
        <f t="shared" si="5"/>
        <v>0</v>
      </c>
      <c r="N51" s="188">
        <f>+(E1_Projektdaten!$D$48*(1+Eing_allg_Teuerung/100)^(E1_Projektdaten!$I$48*ROUNDDOWN((AD51-1)/E1_Projektdaten!$I$48,0))/E1_Projektdaten!$I$48
+E1_Projektdaten!$D$49*(1+Eing_allg_Teuerung/100)^(E1_Projektdaten!$I$49*ROUNDDOWN((AD51-1)/E1_Projektdaten!$I$49,0))/E1_Projektdaten!$I$49
+E1_Projektdaten!$D$50*(1+Eing_allg_Teuerung/100)^(E1_Projektdaten!$I$50*ROUNDDOWN((AD51-1)/E1_Projektdaten!$I$50,0))/E1_Projektdaten!$I$50
+E1_Projektdaten!$D$51*(1+Eing_allg_Teuerung/100)^(E1_Projektdaten!$I$51*ROUNDDOWN((AD51-1)/E1_Projektdaten!$I$51,0))/E1_Projektdaten!$I$51
+E1_Projektdaten!$D$52*(1+Eing_allg_Teuerung/100)^(E1_Projektdaten!$I$52*ROUNDDOWN((AD51-1)/E1_Projektdaten!$I$52,0))/E1_Projektdaten!$I$52
+E1_Projektdaten!$D$53*(1+Eing_allg_Teuerung/100)^(E1_Projektdaten!$I$53*ROUNDDOWN((AD51-1)/E1_Projektdaten!$I$53,0))/E1_Projektdaten!$I$53
)*((AD51)&gt;0)*VLOOKUP(B51,E1_Projektdaten!$D$58:$I$60,6
)/100</f>
        <v>43833.333333333343</v>
      </c>
      <c r="O51" s="194">
        <f t="shared" si="11"/>
        <v>249740.77396637382</v>
      </c>
      <c r="P51" s="206">
        <f>SUM((SUMPRODUCT((E3_Verbraucher!$D$21:$XFD$21&lt;B1_Berechnungen!B51)*E3_Verbraucher!$D$25:$XFD$25)+SUMPRODUCT((E3_Verbraucher!$D$21:$XFD$21=B1_Berechnungen!B51)*E3_Verbraucher!$D$25:$XFD$25*E3_Verbraucher!$D$20:$XFD$20))*(1+$G$24)^(B51-B$36),(SUMPRODUCT((E3_Verbraucher!$D$21:$XFD$21&lt;B1_Berechnungen!B51)*E3_Verbraucher!$D$26:$XFD$26)+SUMPRODUCT((E3_Verbraucher!$D$21:$XFD$21=B1_Berechnungen!B51)*E3_Verbraucher!$D$26:$XFD$26*E3_Verbraucher!$D$20:$XFD$20))*((1+$G$24)*(1-E1_Projektdaten!$D$19/100))^(B51-B$36))</f>
        <v>298230.76442822895</v>
      </c>
      <c r="Q51" s="189">
        <f>SUMPRODUCT((E3_Verbraucher!$D$21:$XFD$21=B1_Berechnungen!B51)*E3_Verbraucher!$D$23:$XFD$23)</f>
        <v>0</v>
      </c>
      <c r="R51" s="358">
        <f>SUM(jährlicher_Förderbeitrag*(B51-Erstauszahlung_jährlFörderung&lt;=Eing_Förderung_wiederholend_Laufzeit-1)*(B51&gt;=E1_Projektdaten!$D$83),E1_Projektdaten!$D$76*(B51=E1_Projektdaten!$D$77),E1_Projektdaten!$D$78*(B51=E1_Projektdaten!$D$79))</f>
        <v>10000</v>
      </c>
      <c r="S51" s="190"/>
      <c r="T51" s="193"/>
      <c r="U51" s="194">
        <f t="shared" si="12"/>
        <v>308230.76442822895</v>
      </c>
      <c r="V51" s="195">
        <f t="shared" si="13"/>
        <v>58489.990461855137</v>
      </c>
      <c r="W51" s="194">
        <f t="shared" si="18"/>
        <v>1147588.7160914021</v>
      </c>
      <c r="X51" s="188">
        <f>E1_Projektdaten!$D$48*(AD51-1=E1_Projektdaten!$I$48)*(1+Eing_allg_Teuerung/100)^E1_Projektdaten!$I$48
+E1_Projektdaten!$D$49*(AD51-1=E1_Projektdaten!$I$49)*(1+Eing_allg_Teuerung/100)^E1_Projektdaten!$I$49
+E1_Projektdaten!$D$50*(AD51-1=E1_Projektdaten!$I$50)*(1+Eing_allg_Teuerung/100)^E1_Projektdaten!$I$50
+E1_Projektdaten!$D$51*(AD51-1=E1_Projektdaten!$I$51)*(1+Eing_allg_Teuerung/100)^E1_Projektdaten!$I$51
+E1_Projektdaten!$D$52*(AD51-1=E1_Projektdaten!$I$52)*(1+Eing_allg_Teuerung/100)^E1_Projektdaten!$I$52
+E1_Projektdaten!$D$53*(AD51-1=E1_Projektdaten!$I$53)*(1+Eing_allg_Teuerung/100)^E1_Projektdaten!$I$53
+Gesamtinvestition*SUMPRODUCT((E1_Projektdaten!$D$58:$D$60=B51)*E1_Projektdaten!$F$58:$F$60)/100</f>
        <v>0</v>
      </c>
      <c r="Y51" s="196">
        <f t="shared" si="6"/>
        <v>0</v>
      </c>
      <c r="Z51" s="185">
        <f t="shared" si="7"/>
        <v>66666.666666666672</v>
      </c>
      <c r="AA51" s="187">
        <f t="shared" si="14"/>
        <v>35656.657128521809</v>
      </c>
      <c r="AB51" s="197">
        <f t="shared" si="15"/>
        <v>126255.38275806874</v>
      </c>
      <c r="AC51" s="198"/>
      <c r="AD51" s="199">
        <f>MAX(B1_Berechnungen!B51+1-E1_Projektdaten!$D$22,0)</f>
        <v>14</v>
      </c>
      <c r="AE51" s="200">
        <f t="shared" si="8"/>
        <v>0</v>
      </c>
      <c r="AF51" s="201">
        <f>E1_Projektdaten!$D$48*(AD51-1=E1_Projektdaten!$I$48)*(1+Eing_allg_Teuerung/100)^E1_Projektdaten!$I$48
+E1_Projektdaten!$D$49*(AD51-1=E1_Projektdaten!$I$49)*(1+Eing_allg_Teuerung/100)^E1_Projektdaten!$I$49
+E1_Projektdaten!$D$50*(AD51-1=E1_Projektdaten!$I$50)*(1+Eing_allg_Teuerung/100)^E1_Projektdaten!$I$50
+E1_Projektdaten!$D$51*(AD51-1=E1_Projektdaten!$I$51)*(1+Eing_allg_Teuerung/100)^E1_Projektdaten!$I$51
+E1_Projektdaten!$D$52*(AD51-1=E1_Projektdaten!$I$52)*(1+Eing_allg_Teuerung/100)^E1_Projektdaten!$I$52
+E1_Projektdaten!$D$53*(AD51-1=E1_Projektdaten!$I$53)*(1+Eing_allg_Teuerung/100)^E1_Projektdaten!$I$53
+(Gesamtinvestition-SUM(E1_Projektdaten!$D$54:$D$55))*SUMPRODUCT((E1_Projektdaten!$D$58:$D$60=B51)*E1_Projektdaten!$F$58:$F$60)/100+AF50-N51</f>
        <v>806333.33333333372</v>
      </c>
      <c r="AG51" s="202">
        <f>IF(ISNUMBER(IRR((AJ$36:AJ50,AI51))),IRR((AJ$36:AJ50,AI51)),"-")</f>
        <v>6.1089176559616654E-2</v>
      </c>
      <c r="AH51" s="203">
        <f t="shared" si="9"/>
        <v>2037</v>
      </c>
      <c r="AI51" s="204">
        <f t="shared" si="19"/>
        <v>908656.65712852217</v>
      </c>
      <c r="AJ51" s="204">
        <f t="shared" si="16"/>
        <v>102323.32379518848</v>
      </c>
    </row>
    <row r="52" spans="2:36" ht="12.95" customHeight="1" x14ac:dyDescent="0.2">
      <c r="B52" s="184">
        <f t="shared" si="17"/>
        <v>2038</v>
      </c>
      <c r="C52" s="205">
        <f>(SUMPRODUCT((E3_Verbraucher!$D$21:$XFD$21&lt;B1_Berechnungen!B52)*E3_Verbraucher!$D$18:$XFD$18)+SUMPRODUCT((E3_Verbraucher!$D$21:$XFD$21=B1_Berechnungen!B52)*E3_Verbraucher!$D$18:$XFD$18*E3_Verbraucher!$D$20:$XFD$20))/(100-Eing_Netzverluste)*100*(1-E1_Projektdaten!$D$19/100)^(B1_Berechnungen!B52-E1_Projektdaten!$D$22)</f>
        <v>1805.0607443088768</v>
      </c>
      <c r="D52" s="186">
        <f t="shared" si="1"/>
        <v>86.874581276897814</v>
      </c>
      <c r="E52" s="206">
        <f t="shared" si="2"/>
        <v>98949.913113241651</v>
      </c>
      <c r="F52" s="189">
        <f t="shared" si="3"/>
        <v>31748.635223499987</v>
      </c>
      <c r="G52" s="189">
        <f t="shared" si="4"/>
        <v>6349.7270446999964</v>
      </c>
      <c r="H52" s="189">
        <f>($F$19*(1+$G$19)^(B52-B$36)+$F$20*(1+$G$20)^(B52-B$36))*(B52&gt;=E1_Projektdaten!$D$22)*VLOOKUP(B52,E1_Projektdaten!$D$58:$I$60,6)/100</f>
        <v>21106.415608626579</v>
      </c>
      <c r="I52" s="189">
        <f>$F$21*(1+$G$21)^(B52-B$36)*(B52&gt;=E1_Projektdaten!$D$22)*VLOOKUP(B52,E1_Projektdaten!$D$58:$I$60,6)/100</f>
        <v>28024.629613676396</v>
      </c>
      <c r="J52" s="189">
        <f t="shared" si="10"/>
        <v>20402.86842167236</v>
      </c>
      <c r="K52" s="190"/>
      <c r="L52" s="191"/>
      <c r="M52" s="185">
        <f t="shared" si="5"/>
        <v>0</v>
      </c>
      <c r="N52" s="188">
        <f>+(E1_Projektdaten!$D$48*(1+Eing_allg_Teuerung/100)^(E1_Projektdaten!$I$48*ROUNDDOWN((AD52-1)/E1_Projektdaten!$I$48,0))/E1_Projektdaten!$I$48
+E1_Projektdaten!$D$49*(1+Eing_allg_Teuerung/100)^(E1_Projektdaten!$I$49*ROUNDDOWN((AD52-1)/E1_Projektdaten!$I$49,0))/E1_Projektdaten!$I$49
+E1_Projektdaten!$D$50*(1+Eing_allg_Teuerung/100)^(E1_Projektdaten!$I$50*ROUNDDOWN((AD52-1)/E1_Projektdaten!$I$50,0))/E1_Projektdaten!$I$50
+E1_Projektdaten!$D$51*(1+Eing_allg_Teuerung/100)^(E1_Projektdaten!$I$51*ROUNDDOWN((AD52-1)/E1_Projektdaten!$I$51,0))/E1_Projektdaten!$I$51
+E1_Projektdaten!$D$52*(1+Eing_allg_Teuerung/100)^(E1_Projektdaten!$I$52*ROUNDDOWN((AD52-1)/E1_Projektdaten!$I$52,0))/E1_Projektdaten!$I$52
+E1_Projektdaten!$D$53*(1+Eing_allg_Teuerung/100)^(E1_Projektdaten!$I$53*ROUNDDOWN((AD52-1)/E1_Projektdaten!$I$53,0))/E1_Projektdaten!$I$53
)*((AD52)&gt;0)*VLOOKUP(B52,E1_Projektdaten!$D$58:$I$60,6
)/100</f>
        <v>43833.333333333343</v>
      </c>
      <c r="O52" s="194">
        <f t="shared" si="11"/>
        <v>250415.52235875031</v>
      </c>
      <c r="P52" s="206">
        <f>SUM((SUMPRODUCT((E3_Verbraucher!$D$21:$XFD$21&lt;B1_Berechnungen!B52)*E3_Verbraucher!$D$25:$XFD$25)+SUMPRODUCT((E3_Verbraucher!$D$21:$XFD$21=B1_Berechnungen!B52)*E3_Verbraucher!$D$25:$XFD$25*E3_Verbraucher!$D$20:$XFD$20))*(1+$G$24)^(B52-B$36),(SUMPRODUCT((E3_Verbraucher!$D$21:$XFD$21&lt;B1_Berechnungen!B52)*E3_Verbraucher!$D$26:$XFD$26)+SUMPRODUCT((E3_Verbraucher!$D$21:$XFD$21=B1_Berechnungen!B52)*E3_Verbraucher!$D$26:$XFD$26*E3_Verbraucher!$D$20:$XFD$20))*((1+$G$24)*(1-E1_Projektdaten!$D$19/100))^(B52-B$36))</f>
        <v>299327.20314023539</v>
      </c>
      <c r="Q52" s="189">
        <f>SUMPRODUCT((E3_Verbraucher!$D$21:$XFD$21=B1_Berechnungen!B52)*E3_Verbraucher!$D$23:$XFD$23)</f>
        <v>0</v>
      </c>
      <c r="R52" s="358">
        <f>SUM(jährlicher_Förderbeitrag*(B52-Erstauszahlung_jährlFörderung&lt;=Eing_Förderung_wiederholend_Laufzeit-1)*(B52&gt;=E1_Projektdaten!$D$83),E1_Projektdaten!$D$76*(B52=E1_Projektdaten!$D$77),E1_Projektdaten!$D$78*(B52=E1_Projektdaten!$D$79))</f>
        <v>10000</v>
      </c>
      <c r="S52" s="190"/>
      <c r="T52" s="193"/>
      <c r="U52" s="194">
        <f t="shared" si="12"/>
        <v>309327.20314023539</v>
      </c>
      <c r="V52" s="195">
        <f t="shared" si="13"/>
        <v>58911.680781485076</v>
      </c>
      <c r="W52" s="194">
        <f t="shared" si="18"/>
        <v>1206500.3968728872</v>
      </c>
      <c r="X52" s="188">
        <f>E1_Projektdaten!$D$48*(AD52-1=E1_Projektdaten!$I$48)*(1+Eing_allg_Teuerung/100)^E1_Projektdaten!$I$48
+E1_Projektdaten!$D$49*(AD52-1=E1_Projektdaten!$I$49)*(1+Eing_allg_Teuerung/100)^E1_Projektdaten!$I$49
+E1_Projektdaten!$D$50*(AD52-1=E1_Projektdaten!$I$50)*(1+Eing_allg_Teuerung/100)^E1_Projektdaten!$I$50
+E1_Projektdaten!$D$51*(AD52-1=E1_Projektdaten!$I$51)*(1+Eing_allg_Teuerung/100)^E1_Projektdaten!$I$51
+E1_Projektdaten!$D$52*(AD52-1=E1_Projektdaten!$I$52)*(1+Eing_allg_Teuerung/100)^E1_Projektdaten!$I$52
+E1_Projektdaten!$D$53*(AD52-1=E1_Projektdaten!$I$53)*(1+Eing_allg_Teuerung/100)^E1_Projektdaten!$I$53
+Gesamtinvestition*SUMPRODUCT((E1_Projektdaten!$D$58:$D$60=B52)*E1_Projektdaten!$F$58:$F$60)/100</f>
        <v>0</v>
      </c>
      <c r="Y52" s="196">
        <f t="shared" si="6"/>
        <v>0</v>
      </c>
      <c r="Z52" s="185">
        <f t="shared" si="7"/>
        <v>0</v>
      </c>
      <c r="AA52" s="187">
        <f t="shared" si="14"/>
        <v>102745.01411481842</v>
      </c>
      <c r="AB52" s="197">
        <f t="shared" si="15"/>
        <v>229000.39687288716</v>
      </c>
      <c r="AC52" s="198"/>
      <c r="AD52" s="199">
        <f>MAX(B1_Berechnungen!B52+1-E1_Projektdaten!$D$22,0)</f>
        <v>15</v>
      </c>
      <c r="AE52" s="200">
        <f t="shared" si="8"/>
        <v>0</v>
      </c>
      <c r="AF52" s="201">
        <f>E1_Projektdaten!$D$48*(AD52-1=E1_Projektdaten!$I$48)*(1+Eing_allg_Teuerung/100)^E1_Projektdaten!$I$48
+E1_Projektdaten!$D$49*(AD52-1=E1_Projektdaten!$I$49)*(1+Eing_allg_Teuerung/100)^E1_Projektdaten!$I$49
+E1_Projektdaten!$D$50*(AD52-1=E1_Projektdaten!$I$50)*(1+Eing_allg_Teuerung/100)^E1_Projektdaten!$I$50
+E1_Projektdaten!$D$51*(AD52-1=E1_Projektdaten!$I$51)*(1+Eing_allg_Teuerung/100)^E1_Projektdaten!$I$51
+E1_Projektdaten!$D$52*(AD52-1=E1_Projektdaten!$I$52)*(1+Eing_allg_Teuerung/100)^E1_Projektdaten!$I$52
+E1_Projektdaten!$D$53*(AD52-1=E1_Projektdaten!$I$53)*(1+Eing_allg_Teuerung/100)^E1_Projektdaten!$I$53
+(Gesamtinvestition-SUM(E1_Projektdaten!$D$54:$D$55))*SUMPRODUCT((E1_Projektdaten!$D$58:$D$60=B52)*E1_Projektdaten!$F$58:$F$60)/100+AF51-N52</f>
        <v>762500.00000000035</v>
      </c>
      <c r="AG52" s="202">
        <f>IF(ISNUMBER(IRR((AJ$36:AJ51,AI52))),IRR((AJ$36:AJ51,AI52)),"-")</f>
        <v>6.1456500049680063E-2</v>
      </c>
      <c r="AH52" s="203">
        <f t="shared" si="9"/>
        <v>2038</v>
      </c>
      <c r="AI52" s="204">
        <f t="shared" si="19"/>
        <v>865245.01411481877</v>
      </c>
      <c r="AJ52" s="204">
        <f t="shared" si="16"/>
        <v>102745.01411481842</v>
      </c>
    </row>
    <row r="53" spans="2:36" ht="12.95" customHeight="1" x14ac:dyDescent="0.2">
      <c r="B53" s="184">
        <f t="shared" si="17"/>
        <v>2039</v>
      </c>
      <c r="C53" s="205">
        <f>(SUMPRODUCT((E3_Verbraucher!$D$21:$XFD$21&lt;B1_Berechnungen!B53)*E3_Verbraucher!$D$18:$XFD$18)+SUMPRODUCT((E3_Verbraucher!$D$21:$XFD$21=B1_Berechnungen!B53)*E3_Verbraucher!$D$18:$XFD$18*E3_Verbraucher!$D$20:$XFD$20))/(100-Eing_Netzverluste)*100*(1-E1_Projektdaten!$D$19/100)^(B1_Berechnungen!B53-E1_Projektdaten!$D$22)</f>
        <v>1787.0101368657879</v>
      </c>
      <c r="D53" s="186">
        <f t="shared" si="1"/>
        <v>86.005835464128836</v>
      </c>
      <c r="E53" s="206">
        <f t="shared" si="2"/>
        <v>98940.018121930319</v>
      </c>
      <c r="F53" s="189">
        <f t="shared" si="3"/>
        <v>31745.460359977642</v>
      </c>
      <c r="G53" s="189">
        <f t="shared" si="4"/>
        <v>6349.0920719955275</v>
      </c>
      <c r="H53" s="189">
        <f>($F$19*(1+$G$19)^(B53-B$36)+$F$20*(1+$G$20)^(B53-B$36))*(B53&gt;=E1_Projektdaten!$D$22)*VLOOKUP(B53,E1_Projektdaten!$D$58:$I$60,6)/100</f>
        <v>21317.479764712847</v>
      </c>
      <c r="I53" s="189">
        <f>$F$21*(1+$G$21)^(B53-B$36)*(B53&gt;=E1_Projektdaten!$D$22)*VLOOKUP(B53,E1_Projektdaten!$D$58:$I$60,6)/100</f>
        <v>28304.875909813167</v>
      </c>
      <c r="J53" s="189">
        <f t="shared" si="10"/>
        <v>20606.897105889086</v>
      </c>
      <c r="K53" s="190"/>
      <c r="L53" s="191"/>
      <c r="M53" s="185">
        <f t="shared" si="5"/>
        <v>0</v>
      </c>
      <c r="N53" s="188">
        <f>+(E1_Projektdaten!$D$48*(1+Eing_allg_Teuerung/100)^(E1_Projektdaten!$I$48*ROUNDDOWN((AD53-1)/E1_Projektdaten!$I$48,0))/E1_Projektdaten!$I$48
+E1_Projektdaten!$D$49*(1+Eing_allg_Teuerung/100)^(E1_Projektdaten!$I$49*ROUNDDOWN((AD53-1)/E1_Projektdaten!$I$49,0))/E1_Projektdaten!$I$49
+E1_Projektdaten!$D$50*(1+Eing_allg_Teuerung/100)^(E1_Projektdaten!$I$50*ROUNDDOWN((AD53-1)/E1_Projektdaten!$I$50,0))/E1_Projektdaten!$I$50
+E1_Projektdaten!$D$51*(1+Eing_allg_Teuerung/100)^(E1_Projektdaten!$I$51*ROUNDDOWN((AD53-1)/E1_Projektdaten!$I$51,0))/E1_Projektdaten!$I$51
+E1_Projektdaten!$D$52*(1+Eing_allg_Teuerung/100)^(E1_Projektdaten!$I$52*ROUNDDOWN((AD53-1)/E1_Projektdaten!$I$52,0))/E1_Projektdaten!$I$52
+E1_Projektdaten!$D$53*(1+Eing_allg_Teuerung/100)^(E1_Projektdaten!$I$53*ROUNDDOWN((AD53-1)/E1_Projektdaten!$I$53,0))/E1_Projektdaten!$I$53
)*((AD53)&gt;0)*VLOOKUP(B53,E1_Projektdaten!$D$58:$I$60,6
)/100</f>
        <v>44047.958607159999</v>
      </c>
      <c r="O53" s="194">
        <f t="shared" si="11"/>
        <v>251311.78194147858</v>
      </c>
      <c r="P53" s="206">
        <f>SUM((SUMPRODUCT((E3_Verbraucher!$D$21:$XFD$21&lt;B1_Berechnungen!B53)*E3_Verbraucher!$D$25:$XFD$25)+SUMPRODUCT((E3_Verbraucher!$D$21:$XFD$21=B1_Berechnungen!B53)*E3_Verbraucher!$D$25:$XFD$25*E3_Verbraucher!$D$20:$XFD$20))*(1+$G$24)^(B53-B$36),(SUMPRODUCT((E3_Verbraucher!$D$21:$XFD$21&lt;B1_Berechnungen!B53)*E3_Verbraucher!$D$26:$XFD$26)+SUMPRODUCT((E3_Verbraucher!$D$21:$XFD$21=B1_Berechnungen!B53)*E3_Verbraucher!$D$26:$XFD$26*E3_Verbraucher!$D$20:$XFD$20))*((1+$G$24)*(1-E1_Projektdaten!$D$19/100))^(B53-B$36))</f>
        <v>300434.79482625506</v>
      </c>
      <c r="Q53" s="189">
        <f>SUMPRODUCT((E3_Verbraucher!$D$21:$XFD$21=B1_Berechnungen!B53)*E3_Verbraucher!$D$23:$XFD$23)</f>
        <v>0</v>
      </c>
      <c r="R53" s="358">
        <f>SUM(jährlicher_Förderbeitrag*(B53-Erstauszahlung_jährlFörderung&lt;=Eing_Förderung_wiederholend_Laufzeit-1)*(B53&gt;=E1_Projektdaten!$D$83),E1_Projektdaten!$D$76*(B53=E1_Projektdaten!$D$77),E1_Projektdaten!$D$78*(B53=E1_Projektdaten!$D$79))</f>
        <v>10000</v>
      </c>
      <c r="S53" s="190"/>
      <c r="T53" s="193"/>
      <c r="U53" s="194">
        <f t="shared" si="12"/>
        <v>310434.79482625506</v>
      </c>
      <c r="V53" s="195">
        <f t="shared" si="13"/>
        <v>59123.012884776486</v>
      </c>
      <c r="W53" s="194">
        <f t="shared" si="18"/>
        <v>1265623.4097576637</v>
      </c>
      <c r="X53" s="188">
        <f>E1_Projektdaten!$D$48*(AD53-1=E1_Projektdaten!$I$48)*(1+Eing_allg_Teuerung/100)^E1_Projektdaten!$I$48
+E1_Projektdaten!$D$49*(AD53-1=E1_Projektdaten!$I$49)*(1+Eing_allg_Teuerung/100)^E1_Projektdaten!$I$49
+E1_Projektdaten!$D$50*(AD53-1=E1_Projektdaten!$I$50)*(1+Eing_allg_Teuerung/100)^E1_Projektdaten!$I$50
+E1_Projektdaten!$D$51*(AD53-1=E1_Projektdaten!$I$51)*(1+Eing_allg_Teuerung/100)^E1_Projektdaten!$I$51
+E1_Projektdaten!$D$52*(AD53-1=E1_Projektdaten!$I$52)*(1+Eing_allg_Teuerung/100)^E1_Projektdaten!$I$52
+E1_Projektdaten!$D$53*(AD53-1=E1_Projektdaten!$I$53)*(1+Eing_allg_Teuerung/100)^E1_Projektdaten!$I$53
+Gesamtinvestition*SUMPRODUCT((E1_Projektdaten!$D$58:$D$60=B53)*E1_Projektdaten!$F$58:$F$60)/100</f>
        <v>23219.379107399967</v>
      </c>
      <c r="Y53" s="196">
        <f t="shared" si="6"/>
        <v>0</v>
      </c>
      <c r="Z53" s="185">
        <f t="shared" si="7"/>
        <v>0</v>
      </c>
      <c r="AA53" s="187">
        <f t="shared" si="14"/>
        <v>79951.592384536518</v>
      </c>
      <c r="AB53" s="197">
        <f t="shared" si="15"/>
        <v>308951.98925742367</v>
      </c>
      <c r="AC53" s="198"/>
      <c r="AD53" s="199">
        <f>MAX(B1_Berechnungen!B53+1-E1_Projektdaten!$D$22,0)</f>
        <v>16</v>
      </c>
      <c r="AE53" s="200">
        <f t="shared" si="8"/>
        <v>0</v>
      </c>
      <c r="AF53" s="201">
        <f>E1_Projektdaten!$D$48*(AD53-1=E1_Projektdaten!$I$48)*(1+Eing_allg_Teuerung/100)^E1_Projektdaten!$I$48
+E1_Projektdaten!$D$49*(AD53-1=E1_Projektdaten!$I$49)*(1+Eing_allg_Teuerung/100)^E1_Projektdaten!$I$49
+E1_Projektdaten!$D$50*(AD53-1=E1_Projektdaten!$I$50)*(1+Eing_allg_Teuerung/100)^E1_Projektdaten!$I$50
+E1_Projektdaten!$D$51*(AD53-1=E1_Projektdaten!$I$51)*(1+Eing_allg_Teuerung/100)^E1_Projektdaten!$I$51
+E1_Projektdaten!$D$52*(AD53-1=E1_Projektdaten!$I$52)*(1+Eing_allg_Teuerung/100)^E1_Projektdaten!$I$52
+E1_Projektdaten!$D$53*(AD53-1=E1_Projektdaten!$I$53)*(1+Eing_allg_Teuerung/100)^E1_Projektdaten!$I$53
+(Gesamtinvestition-SUM(E1_Projektdaten!$D$54:$D$55))*SUMPRODUCT((E1_Projektdaten!$D$58:$D$60=B53)*E1_Projektdaten!$F$58:$F$60)/100+AF52-N53</f>
        <v>741671.42050024029</v>
      </c>
      <c r="AG53" s="202">
        <f>IF(ISNUMBER(IRR((AJ$36:AJ52,AI53))),IRR((AJ$36:AJ52,AI53)),"-")</f>
        <v>6.1881502277910228E-2</v>
      </c>
      <c r="AH53" s="203">
        <f t="shared" si="9"/>
        <v>2039</v>
      </c>
      <c r="AI53" s="204">
        <f t="shared" si="19"/>
        <v>821623.01288477681</v>
      </c>
      <c r="AJ53" s="204">
        <f t="shared" si="16"/>
        <v>79951.592384536518</v>
      </c>
    </row>
    <row r="54" spans="2:36" ht="12.95" customHeight="1" x14ac:dyDescent="0.2">
      <c r="B54" s="184">
        <f t="shared" si="17"/>
        <v>2040</v>
      </c>
      <c r="C54" s="205">
        <f>(SUMPRODUCT((E3_Verbraucher!$D$21:$XFD$21&lt;B1_Berechnungen!B54)*E3_Verbraucher!$D$18:$XFD$18)+SUMPRODUCT((E3_Verbraucher!$D$21:$XFD$21=B1_Berechnungen!B54)*E3_Verbraucher!$D$18:$XFD$18*E3_Verbraucher!$D$20:$XFD$20))/(100-Eing_Netzverluste)*100*(1-E1_Projektdaten!$D$19/100)^(B1_Berechnungen!B54-E1_Projektdaten!$D$22)</f>
        <v>1769.1400354971302</v>
      </c>
      <c r="D54" s="186">
        <f t="shared" si="1"/>
        <v>85.14577710948754</v>
      </c>
      <c r="E54" s="206">
        <f t="shared" si="2"/>
        <v>98930.124120118126</v>
      </c>
      <c r="F54" s="189">
        <f t="shared" si="3"/>
        <v>31742.285813941642</v>
      </c>
      <c r="G54" s="189">
        <f t="shared" si="4"/>
        <v>6348.4571627883288</v>
      </c>
      <c r="H54" s="189">
        <f>($F$19*(1+$G$19)^(B54-B$36)+$F$20*(1+$G$20)^(B54-B$36))*(B54&gt;=E1_Projektdaten!$D$22)*VLOOKUP(B54,E1_Projektdaten!$D$58:$I$60,6)/100</f>
        <v>21530.654562359974</v>
      </c>
      <c r="I54" s="189">
        <f>$F$21*(1+$G$21)^(B54-B$36)*(B54&gt;=E1_Projektdaten!$D$22)*VLOOKUP(B54,E1_Projektdaten!$D$58:$I$60,6)/100</f>
        <v>28587.924668911299</v>
      </c>
      <c r="J54" s="189">
        <f t="shared" si="10"/>
        <v>20812.966076947978</v>
      </c>
      <c r="K54" s="190"/>
      <c r="L54" s="191"/>
      <c r="M54" s="185">
        <f t="shared" si="5"/>
        <v>0</v>
      </c>
      <c r="N54" s="188">
        <f>+(E1_Projektdaten!$D$48*(1+Eing_allg_Teuerung/100)^(E1_Projektdaten!$I$48*ROUNDDOWN((AD54-1)/E1_Projektdaten!$I$48,0))/E1_Projektdaten!$I$48
+E1_Projektdaten!$D$49*(1+Eing_allg_Teuerung/100)^(E1_Projektdaten!$I$49*ROUNDDOWN((AD54-1)/E1_Projektdaten!$I$49,0))/E1_Projektdaten!$I$49
+E1_Projektdaten!$D$50*(1+Eing_allg_Teuerung/100)^(E1_Projektdaten!$I$50*ROUNDDOWN((AD54-1)/E1_Projektdaten!$I$50,0))/E1_Projektdaten!$I$50
+E1_Projektdaten!$D$51*(1+Eing_allg_Teuerung/100)^(E1_Projektdaten!$I$51*ROUNDDOWN((AD54-1)/E1_Projektdaten!$I$51,0))/E1_Projektdaten!$I$51
+E1_Projektdaten!$D$52*(1+Eing_allg_Teuerung/100)^(E1_Projektdaten!$I$52*ROUNDDOWN((AD54-1)/E1_Projektdaten!$I$52,0))/E1_Projektdaten!$I$52
+E1_Projektdaten!$D$53*(1+Eing_allg_Teuerung/100)^(E1_Projektdaten!$I$53*ROUNDDOWN((AD54-1)/E1_Projektdaten!$I$53,0))/E1_Projektdaten!$I$53
)*((AD54)&gt;0)*VLOOKUP(B54,E1_Projektdaten!$D$58:$I$60,6
)/100</f>
        <v>44047.958607159999</v>
      </c>
      <c r="O54" s="194">
        <f t="shared" si="11"/>
        <v>252000.37101222735</v>
      </c>
      <c r="P54" s="206">
        <f>SUM((SUMPRODUCT((E3_Verbraucher!$D$21:$XFD$21&lt;B1_Berechnungen!B54)*E3_Verbraucher!$D$25:$XFD$25)+SUMPRODUCT((E3_Verbraucher!$D$21:$XFD$21=B1_Berechnungen!B54)*E3_Verbraucher!$D$25:$XFD$25*E3_Verbraucher!$D$20:$XFD$20))*(1+$G$24)^(B54-B$36),(SUMPRODUCT((E3_Verbraucher!$D$21:$XFD$21&lt;B1_Berechnungen!B54)*E3_Verbraucher!$D$26:$XFD$26)+SUMPRODUCT((E3_Verbraucher!$D$21:$XFD$21=B1_Berechnungen!B54)*E3_Verbraucher!$D$26:$XFD$26*E3_Verbraucher!$D$20:$XFD$20))*((1+$G$24)*(1-E1_Projektdaten!$D$19/100))^(B54-B$36))</f>
        <v>301553.65099716949</v>
      </c>
      <c r="Q54" s="189">
        <f>SUMPRODUCT((E3_Verbraucher!$D$21:$XFD$21=B1_Berechnungen!B54)*E3_Verbraucher!$D$23:$XFD$23)</f>
        <v>0</v>
      </c>
      <c r="R54" s="358">
        <f>SUM(jährlicher_Förderbeitrag*(B54-Erstauszahlung_jährlFörderung&lt;=Eing_Förderung_wiederholend_Laufzeit-1)*(B54&gt;=E1_Projektdaten!$D$83),E1_Projektdaten!$D$76*(B54=E1_Projektdaten!$D$77),E1_Projektdaten!$D$78*(B54=E1_Projektdaten!$D$79))</f>
        <v>10000</v>
      </c>
      <c r="S54" s="190"/>
      <c r="T54" s="193"/>
      <c r="U54" s="194">
        <f t="shared" si="12"/>
        <v>311553.65099716949</v>
      </c>
      <c r="V54" s="195">
        <f t="shared" si="13"/>
        <v>59553.279984942143</v>
      </c>
      <c r="W54" s="194">
        <f t="shared" si="18"/>
        <v>1325176.6897426059</v>
      </c>
      <c r="X54" s="188">
        <f>E1_Projektdaten!$D$48*(AD54-1=E1_Projektdaten!$I$48)*(1+Eing_allg_Teuerung/100)^E1_Projektdaten!$I$48
+E1_Projektdaten!$D$49*(AD54-1=E1_Projektdaten!$I$49)*(1+Eing_allg_Teuerung/100)^E1_Projektdaten!$I$49
+E1_Projektdaten!$D$50*(AD54-1=E1_Projektdaten!$I$50)*(1+Eing_allg_Teuerung/100)^E1_Projektdaten!$I$50
+E1_Projektdaten!$D$51*(AD54-1=E1_Projektdaten!$I$51)*(1+Eing_allg_Teuerung/100)^E1_Projektdaten!$I$51
+E1_Projektdaten!$D$52*(AD54-1=E1_Projektdaten!$I$52)*(1+Eing_allg_Teuerung/100)^E1_Projektdaten!$I$52
+E1_Projektdaten!$D$53*(AD54-1=E1_Projektdaten!$I$53)*(1+Eing_allg_Teuerung/100)^E1_Projektdaten!$I$53
+Gesamtinvestition*SUMPRODUCT((E1_Projektdaten!$D$58:$D$60=B54)*E1_Projektdaten!$F$58:$F$60)/100</f>
        <v>0</v>
      </c>
      <c r="Y54" s="196">
        <f t="shared" si="6"/>
        <v>0</v>
      </c>
      <c r="Z54" s="185">
        <f t="shared" si="7"/>
        <v>0</v>
      </c>
      <c r="AA54" s="187">
        <f t="shared" si="14"/>
        <v>103601.23859210213</v>
      </c>
      <c r="AB54" s="197">
        <f t="shared" si="15"/>
        <v>412553.22784952581</v>
      </c>
      <c r="AC54" s="198"/>
      <c r="AD54" s="182">
        <f>MAX(B1_Berechnungen!B54+1-E1_Projektdaten!$D$22,0)</f>
        <v>17</v>
      </c>
      <c r="AE54" s="200">
        <f t="shared" si="8"/>
        <v>0</v>
      </c>
      <c r="AF54" s="201">
        <f>E1_Projektdaten!$D$48*(AD54-1=E1_Projektdaten!$I$48)*(1+Eing_allg_Teuerung/100)^E1_Projektdaten!$I$48
+E1_Projektdaten!$D$49*(AD54-1=E1_Projektdaten!$I$49)*(1+Eing_allg_Teuerung/100)^E1_Projektdaten!$I$49
+E1_Projektdaten!$D$50*(AD54-1=E1_Projektdaten!$I$50)*(1+Eing_allg_Teuerung/100)^E1_Projektdaten!$I$50
+E1_Projektdaten!$D$51*(AD54-1=E1_Projektdaten!$I$51)*(1+Eing_allg_Teuerung/100)^E1_Projektdaten!$I$51
+E1_Projektdaten!$D$52*(AD54-1=E1_Projektdaten!$I$52)*(1+Eing_allg_Teuerung/100)^E1_Projektdaten!$I$52
+E1_Projektdaten!$D$53*(AD54-1=E1_Projektdaten!$I$53)*(1+Eing_allg_Teuerung/100)^E1_Projektdaten!$I$53
+(Gesamtinvestition-SUM(E1_Projektdaten!$D$54:$D$55))*SUMPRODUCT((E1_Projektdaten!$D$58:$D$60=B54)*E1_Projektdaten!$F$58:$F$60)/100+AF53-N54</f>
        <v>697623.46189308027</v>
      </c>
      <c r="AG54" s="202">
        <f>IF(ISNUMBER(IRR((AJ$36:AJ53,AI54))),IRR((AJ$36:AJ53,AI54)),"-")</f>
        <v>6.2313317482925568E-2</v>
      </c>
      <c r="AH54" s="203">
        <f t="shared" si="9"/>
        <v>2040</v>
      </c>
      <c r="AI54" s="204">
        <f t="shared" si="19"/>
        <v>801224.70048518246</v>
      </c>
      <c r="AJ54" s="204">
        <f t="shared" si="16"/>
        <v>103601.23859210213</v>
      </c>
    </row>
    <row r="55" spans="2:36" ht="12.95" customHeight="1" x14ac:dyDescent="0.2">
      <c r="B55" s="184">
        <f t="shared" si="17"/>
        <v>2041</v>
      </c>
      <c r="C55" s="205">
        <f>(SUMPRODUCT((E3_Verbraucher!$D$21:$XFD$21&lt;B1_Berechnungen!B55)*E3_Verbraucher!$D$18:$XFD$18)+SUMPRODUCT((E3_Verbraucher!$D$21:$XFD$21=B1_Berechnungen!B55)*E3_Verbraucher!$D$18:$XFD$18*E3_Verbraucher!$D$20:$XFD$20))/(100-Eing_Netzverluste)*100*(1-E1_Projektdaten!$D$19/100)^(B1_Berechnungen!B55-E1_Projektdaten!$D$22)</f>
        <v>1751.4486351421588</v>
      </c>
      <c r="D55" s="186">
        <f t="shared" si="1"/>
        <v>84.294319338392668</v>
      </c>
      <c r="E55" s="206">
        <f t="shared" si="2"/>
        <v>98920.231107706073</v>
      </c>
      <c r="F55" s="189">
        <f t="shared" si="3"/>
        <v>31739.111585360242</v>
      </c>
      <c r="G55" s="189">
        <f t="shared" si="4"/>
        <v>6347.8223170720476</v>
      </c>
      <c r="H55" s="189">
        <f>($F$19*(1+$G$19)^(B55-B$36)+$F$20*(1+$G$20)^(B55-B$36))*(B55&gt;=E1_Projektdaten!$D$22)*VLOOKUP(B55,E1_Projektdaten!$D$58:$I$60,6)/100</f>
        <v>21745.961107983567</v>
      </c>
      <c r="I55" s="189">
        <f>$F$21*(1+$G$21)^(B55-B$36)*(B55&gt;=E1_Projektdaten!$D$22)*VLOOKUP(B55,E1_Projektdaten!$D$58:$I$60,6)/100</f>
        <v>28873.803915600405</v>
      </c>
      <c r="J55" s="189">
        <f t="shared" si="10"/>
        <v>21021.095737717453</v>
      </c>
      <c r="K55" s="190"/>
      <c r="L55" s="191"/>
      <c r="M55" s="185">
        <f t="shared" si="5"/>
        <v>0</v>
      </c>
      <c r="N55" s="188">
        <f>+(E1_Projektdaten!$D$48*(1+Eing_allg_Teuerung/100)^(E1_Projektdaten!$I$48*ROUNDDOWN((AD55-1)/E1_Projektdaten!$I$48,0))/E1_Projektdaten!$I$48
+E1_Projektdaten!$D$49*(1+Eing_allg_Teuerung/100)^(E1_Projektdaten!$I$49*ROUNDDOWN((AD55-1)/E1_Projektdaten!$I$49,0))/E1_Projektdaten!$I$49
+E1_Projektdaten!$D$50*(1+Eing_allg_Teuerung/100)^(E1_Projektdaten!$I$50*ROUNDDOWN((AD55-1)/E1_Projektdaten!$I$50,0))/E1_Projektdaten!$I$50
+E1_Projektdaten!$D$51*(1+Eing_allg_Teuerung/100)^(E1_Projektdaten!$I$51*ROUNDDOWN((AD55-1)/E1_Projektdaten!$I$51,0))/E1_Projektdaten!$I$51
+E1_Projektdaten!$D$52*(1+Eing_allg_Teuerung/100)^(E1_Projektdaten!$I$52*ROUNDDOWN((AD55-1)/E1_Projektdaten!$I$52,0))/E1_Projektdaten!$I$52
+E1_Projektdaten!$D$53*(1+Eing_allg_Teuerung/100)^(E1_Projektdaten!$I$53*ROUNDDOWN((AD55-1)/E1_Projektdaten!$I$53,0))/E1_Projektdaten!$I$53
)*((AD55)&gt;0)*VLOOKUP(B55,E1_Projektdaten!$D$58:$I$60,6
)/100</f>
        <v>44047.958607159999</v>
      </c>
      <c r="O55" s="194">
        <f t="shared" si="11"/>
        <v>252695.98437859979</v>
      </c>
      <c r="P55" s="206">
        <f>SUM((SUMPRODUCT((E3_Verbraucher!$D$21:$XFD$21&lt;B1_Berechnungen!B55)*E3_Verbraucher!$D$25:$XFD$25)+SUMPRODUCT((E3_Verbraucher!$D$21:$XFD$21=B1_Berechnungen!B55)*E3_Verbraucher!$D$25:$XFD$25*E3_Verbraucher!$D$20:$XFD$20))*(1+$G$24)^(B55-B$36),(SUMPRODUCT((E3_Verbraucher!$D$21:$XFD$21&lt;B1_Berechnungen!B55)*E3_Verbraucher!$D$26:$XFD$26)+SUMPRODUCT((E3_Verbraucher!$D$21:$XFD$21=B1_Berechnungen!B55)*E3_Verbraucher!$D$26:$XFD$26*E3_Verbraucher!$D$20:$XFD$20))*((1+$G$24)*(1-E1_Projektdaten!$D$19/100))^(B55-B$36))</f>
        <v>302683.88427897077</v>
      </c>
      <c r="Q55" s="189">
        <f>SUMPRODUCT((E3_Verbraucher!$D$21:$XFD$21=B1_Berechnungen!B55)*E3_Verbraucher!$D$23:$XFD$23)</f>
        <v>0</v>
      </c>
      <c r="R55" s="358">
        <f>SUM(jährlicher_Förderbeitrag*(B55-Erstauszahlung_jährlFörderung&lt;=Eing_Förderung_wiederholend_Laufzeit-1)*(B55&gt;=E1_Projektdaten!$D$83),E1_Projektdaten!$D$76*(B55=E1_Projektdaten!$D$77),E1_Projektdaten!$D$78*(B55=E1_Projektdaten!$D$79))</f>
        <v>0</v>
      </c>
      <c r="S55" s="190"/>
      <c r="T55" s="193"/>
      <c r="U55" s="194">
        <f t="shared" si="12"/>
        <v>302683.88427897077</v>
      </c>
      <c r="V55" s="195">
        <f t="shared" si="13"/>
        <v>49987.899900370976</v>
      </c>
      <c r="W55" s="194">
        <f t="shared" si="18"/>
        <v>1375164.5896429769</v>
      </c>
      <c r="X55" s="188">
        <f>E1_Projektdaten!$D$48*(AD55-1=E1_Projektdaten!$I$48)*(1+Eing_allg_Teuerung/100)^E1_Projektdaten!$I$48
+E1_Projektdaten!$D$49*(AD55-1=E1_Projektdaten!$I$49)*(1+Eing_allg_Teuerung/100)^E1_Projektdaten!$I$49
+E1_Projektdaten!$D$50*(AD55-1=E1_Projektdaten!$I$50)*(1+Eing_allg_Teuerung/100)^E1_Projektdaten!$I$50
+E1_Projektdaten!$D$51*(AD55-1=E1_Projektdaten!$I$51)*(1+Eing_allg_Teuerung/100)^E1_Projektdaten!$I$51
+E1_Projektdaten!$D$52*(AD55-1=E1_Projektdaten!$I$52)*(1+Eing_allg_Teuerung/100)^E1_Projektdaten!$I$52
+E1_Projektdaten!$D$53*(AD55-1=E1_Projektdaten!$I$53)*(1+Eing_allg_Teuerung/100)^E1_Projektdaten!$I$53
+Gesamtinvestition*SUMPRODUCT((E1_Projektdaten!$D$58:$D$60=B55)*E1_Projektdaten!$F$58:$F$60)/100</f>
        <v>0</v>
      </c>
      <c r="Y55" s="196">
        <f t="shared" si="6"/>
        <v>0</v>
      </c>
      <c r="Z55" s="185">
        <f t="shared" si="7"/>
        <v>0</v>
      </c>
      <c r="AA55" s="187">
        <f t="shared" si="14"/>
        <v>94035.858507530967</v>
      </c>
      <c r="AB55" s="197">
        <f t="shared" si="15"/>
        <v>506589.08635705675</v>
      </c>
      <c r="AC55" s="198"/>
      <c r="AD55" s="199">
        <f>MAX(B1_Berechnungen!B55+1-E1_Projektdaten!$D$22,0)</f>
        <v>18</v>
      </c>
      <c r="AE55" s="200">
        <f t="shared" si="8"/>
        <v>0</v>
      </c>
      <c r="AF55" s="201">
        <f>E1_Projektdaten!$D$48*(AD55-1=E1_Projektdaten!$I$48)*(1+Eing_allg_Teuerung/100)^E1_Projektdaten!$I$48
+E1_Projektdaten!$D$49*(AD55-1=E1_Projektdaten!$I$49)*(1+Eing_allg_Teuerung/100)^E1_Projektdaten!$I$49
+E1_Projektdaten!$D$50*(AD55-1=E1_Projektdaten!$I$50)*(1+Eing_allg_Teuerung/100)^E1_Projektdaten!$I$50
+E1_Projektdaten!$D$51*(AD55-1=E1_Projektdaten!$I$51)*(1+Eing_allg_Teuerung/100)^E1_Projektdaten!$I$51
+E1_Projektdaten!$D$52*(AD55-1=E1_Projektdaten!$I$52)*(1+Eing_allg_Teuerung/100)^E1_Projektdaten!$I$52
+E1_Projektdaten!$D$53*(AD55-1=E1_Projektdaten!$I$53)*(1+Eing_allg_Teuerung/100)^E1_Projektdaten!$I$53
+(Gesamtinvestition-SUM(E1_Projektdaten!$D$54:$D$55))*SUMPRODUCT((E1_Projektdaten!$D$58:$D$60=B55)*E1_Projektdaten!$F$58:$F$60)/100+AF54-N55</f>
        <v>653575.50328592025</v>
      </c>
      <c r="AG55" s="202">
        <f>IF(ISNUMBER(IRR((AJ$36:AJ54,AI55))),IRR((AJ$36:AJ54,AI55)),"-")</f>
        <v>6.2502182023683961E-2</v>
      </c>
      <c r="AH55" s="203">
        <f t="shared" si="9"/>
        <v>2041</v>
      </c>
      <c r="AI55" s="204">
        <f t="shared" si="19"/>
        <v>747611.36179345124</v>
      </c>
      <c r="AJ55" s="204">
        <f t="shared" si="16"/>
        <v>94035.858507530967</v>
      </c>
    </row>
    <row r="56" spans="2:36" ht="12.95" customHeight="1" x14ac:dyDescent="0.2">
      <c r="B56" s="184">
        <f t="shared" si="17"/>
        <v>2042</v>
      </c>
      <c r="C56" s="205">
        <f>(SUMPRODUCT((E3_Verbraucher!$D$21:$XFD$21&lt;B1_Berechnungen!B56)*E3_Verbraucher!$D$18:$XFD$18)+SUMPRODUCT((E3_Verbraucher!$D$21:$XFD$21=B1_Berechnungen!B56)*E3_Verbraucher!$D$18:$XFD$18*E3_Verbraucher!$D$20:$XFD$20))/(100-Eing_Netzverluste)*100*(1-E1_Projektdaten!$D$19/100)^(B1_Berechnungen!B56-E1_Projektdaten!$D$22)</f>
        <v>1733.9341487907373</v>
      </c>
      <c r="D56" s="186">
        <f t="shared" si="1"/>
        <v>83.451376145008737</v>
      </c>
      <c r="E56" s="206">
        <f t="shared" si="2"/>
        <v>98910.339084595325</v>
      </c>
      <c r="F56" s="189">
        <f t="shared" si="3"/>
        <v>31735.937674201708</v>
      </c>
      <c r="G56" s="189">
        <f t="shared" si="4"/>
        <v>6347.187534840341</v>
      </c>
      <c r="H56" s="189">
        <f>($F$19*(1+$G$19)^(B56-B$36)+$F$20*(1+$G$20)^(B56-B$36))*(B56&gt;=E1_Projektdaten!$D$22)*VLOOKUP(B56,E1_Projektdaten!$D$58:$I$60,6)/100</f>
        <v>21963.420719063404</v>
      </c>
      <c r="I56" s="189">
        <f>$F$21*(1+$G$21)^(B56-B$36)*(B56&gt;=E1_Projektdaten!$D$22)*VLOOKUP(B56,E1_Projektdaten!$D$58:$I$60,6)/100</f>
        <v>29162.541954756412</v>
      </c>
      <c r="J56" s="189">
        <f t="shared" si="10"/>
        <v>21231.306695094627</v>
      </c>
      <c r="K56" s="190"/>
      <c r="L56" s="191"/>
      <c r="M56" s="185">
        <f t="shared" si="5"/>
        <v>0</v>
      </c>
      <c r="N56" s="188">
        <f>+(E1_Projektdaten!$D$48*(1+Eing_allg_Teuerung/100)^(E1_Projektdaten!$I$48*ROUNDDOWN((AD56-1)/E1_Projektdaten!$I$48,0))/E1_Projektdaten!$I$48
+E1_Projektdaten!$D$49*(1+Eing_allg_Teuerung/100)^(E1_Projektdaten!$I$49*ROUNDDOWN((AD56-1)/E1_Projektdaten!$I$49,0))/E1_Projektdaten!$I$49
+E1_Projektdaten!$D$50*(1+Eing_allg_Teuerung/100)^(E1_Projektdaten!$I$50*ROUNDDOWN((AD56-1)/E1_Projektdaten!$I$50,0))/E1_Projektdaten!$I$50
+E1_Projektdaten!$D$51*(1+Eing_allg_Teuerung/100)^(E1_Projektdaten!$I$51*ROUNDDOWN((AD56-1)/E1_Projektdaten!$I$51,0))/E1_Projektdaten!$I$51
+E1_Projektdaten!$D$52*(1+Eing_allg_Teuerung/100)^(E1_Projektdaten!$I$52*ROUNDDOWN((AD56-1)/E1_Projektdaten!$I$52,0))/E1_Projektdaten!$I$52
+E1_Projektdaten!$D$53*(1+Eing_allg_Teuerung/100)^(E1_Projektdaten!$I$53*ROUNDDOWN((AD56-1)/E1_Projektdaten!$I$53,0))/E1_Projektdaten!$I$53
)*((AD56)&gt;0)*VLOOKUP(B56,E1_Projektdaten!$D$58:$I$60,6
)/100</f>
        <v>44047.958607159999</v>
      </c>
      <c r="O56" s="194">
        <f t="shared" si="11"/>
        <v>253398.69226971181</v>
      </c>
      <c r="P56" s="206">
        <f>SUM((SUMPRODUCT((E3_Verbraucher!$D$21:$XFD$21&lt;B1_Berechnungen!B56)*E3_Verbraucher!$D$25:$XFD$25)+SUMPRODUCT((E3_Verbraucher!$D$21:$XFD$21=B1_Berechnungen!B56)*E3_Verbraucher!$D$25:$XFD$25*E3_Verbraucher!$D$20:$XFD$20))*(1+$G$24)^(B56-B$36),(SUMPRODUCT((E3_Verbraucher!$D$21:$XFD$21&lt;B1_Berechnungen!B56)*E3_Verbraucher!$D$26:$XFD$26)+SUMPRODUCT((E3_Verbraucher!$D$21:$XFD$21=B1_Berechnungen!B56)*E3_Verbraucher!$D$26:$XFD$26*E3_Verbraucher!$D$20:$XFD$20))*((1+$G$24)*(1-E1_Projektdaten!$D$19/100))^(B56-B$36))</f>
        <v>303825.6084239129</v>
      </c>
      <c r="Q56" s="189">
        <f>SUMPRODUCT((E3_Verbraucher!$D$21:$XFD$21=B1_Berechnungen!B56)*E3_Verbraucher!$D$23:$XFD$23)</f>
        <v>0</v>
      </c>
      <c r="R56" s="358">
        <f>SUM(jährlicher_Förderbeitrag*(B56-Erstauszahlung_jährlFörderung&lt;=Eing_Förderung_wiederholend_Laufzeit-1)*(B56&gt;=E1_Projektdaten!$D$83),E1_Projektdaten!$D$76*(B56=E1_Projektdaten!$D$77),E1_Projektdaten!$D$78*(B56=E1_Projektdaten!$D$79))</f>
        <v>0</v>
      </c>
      <c r="S56" s="190"/>
      <c r="T56" s="193"/>
      <c r="U56" s="194">
        <f t="shared" si="12"/>
        <v>303825.6084239129</v>
      </c>
      <c r="V56" s="195">
        <f t="shared" si="13"/>
        <v>50426.916154201084</v>
      </c>
      <c r="W56" s="194">
        <f t="shared" si="18"/>
        <v>1425591.505797178</v>
      </c>
      <c r="X56" s="188">
        <f>E1_Projektdaten!$D$48*(AD56-1=E1_Projektdaten!$I$48)*(1+Eing_allg_Teuerung/100)^E1_Projektdaten!$I$48
+E1_Projektdaten!$D$49*(AD56-1=E1_Projektdaten!$I$49)*(1+Eing_allg_Teuerung/100)^E1_Projektdaten!$I$49
+E1_Projektdaten!$D$50*(AD56-1=E1_Projektdaten!$I$50)*(1+Eing_allg_Teuerung/100)^E1_Projektdaten!$I$50
+E1_Projektdaten!$D$51*(AD56-1=E1_Projektdaten!$I$51)*(1+Eing_allg_Teuerung/100)^E1_Projektdaten!$I$51
+E1_Projektdaten!$D$52*(AD56-1=E1_Projektdaten!$I$52)*(1+Eing_allg_Teuerung/100)^E1_Projektdaten!$I$52
+E1_Projektdaten!$D$53*(AD56-1=E1_Projektdaten!$I$53)*(1+Eing_allg_Teuerung/100)^E1_Projektdaten!$I$53
+Gesamtinvestition*SUMPRODUCT((E1_Projektdaten!$D$58:$D$60=B56)*E1_Projektdaten!$F$58:$F$60)/100</f>
        <v>0</v>
      </c>
      <c r="Y56" s="196">
        <f t="shared" si="6"/>
        <v>0</v>
      </c>
      <c r="Z56" s="185">
        <f t="shared" si="7"/>
        <v>0</v>
      </c>
      <c r="AA56" s="187">
        <f t="shared" si="14"/>
        <v>94474.874761361076</v>
      </c>
      <c r="AB56" s="197">
        <f t="shared" si="15"/>
        <v>601063.96111841779</v>
      </c>
      <c r="AC56" s="198"/>
      <c r="AD56" s="199">
        <f>MAX(B1_Berechnungen!B56+1-E1_Projektdaten!$D$22,0)</f>
        <v>19</v>
      </c>
      <c r="AE56" s="200">
        <f t="shared" si="8"/>
        <v>0</v>
      </c>
      <c r="AF56" s="201">
        <f>E1_Projektdaten!$D$48*(AD56-1=E1_Projektdaten!$I$48)*(1+Eing_allg_Teuerung/100)^E1_Projektdaten!$I$48
+E1_Projektdaten!$D$49*(AD56-1=E1_Projektdaten!$I$49)*(1+Eing_allg_Teuerung/100)^E1_Projektdaten!$I$49
+E1_Projektdaten!$D$50*(AD56-1=E1_Projektdaten!$I$50)*(1+Eing_allg_Teuerung/100)^E1_Projektdaten!$I$50
+E1_Projektdaten!$D$51*(AD56-1=E1_Projektdaten!$I$51)*(1+Eing_allg_Teuerung/100)^E1_Projektdaten!$I$51
+E1_Projektdaten!$D$52*(AD56-1=E1_Projektdaten!$I$52)*(1+Eing_allg_Teuerung/100)^E1_Projektdaten!$I$52
+E1_Projektdaten!$D$53*(AD56-1=E1_Projektdaten!$I$53)*(1+Eing_allg_Teuerung/100)^E1_Projektdaten!$I$53
+(Gesamtinvestition-SUM(E1_Projektdaten!$D$54:$D$55))*SUMPRODUCT((E1_Projektdaten!$D$58:$D$60=B56)*E1_Projektdaten!$F$58:$F$60)/100+AF55-N56</f>
        <v>609527.54467876023</v>
      </c>
      <c r="AG56" s="202">
        <f>IF(ISNUMBER(IRR((AJ$36:AJ55,AI56))),IRR((AJ$36:AJ55,AI56)),"-")</f>
        <v>6.2757618669188275E-2</v>
      </c>
      <c r="AH56" s="203">
        <f t="shared" si="9"/>
        <v>2042</v>
      </c>
      <c r="AI56" s="204">
        <f t="shared" si="19"/>
        <v>704002.41944012127</v>
      </c>
      <c r="AJ56" s="204">
        <f t="shared" si="16"/>
        <v>94474.874761361076</v>
      </c>
    </row>
    <row r="57" spans="2:36" ht="12.95" customHeight="1" x14ac:dyDescent="0.2">
      <c r="B57" s="184">
        <f t="shared" si="17"/>
        <v>2043</v>
      </c>
      <c r="C57" s="205">
        <f>(SUMPRODUCT((E3_Verbraucher!$D$21:$XFD$21&lt;B1_Berechnungen!B57)*E3_Verbraucher!$D$18:$XFD$18)+SUMPRODUCT((E3_Verbraucher!$D$21:$XFD$21=B1_Berechnungen!B57)*E3_Verbraucher!$D$18:$XFD$18*E3_Verbraucher!$D$20:$XFD$20))/(100-Eing_Netzverluste)*100*(1-E1_Projektdaten!$D$19/100)^(B1_Berechnungen!B57-E1_Projektdaten!$D$22)</f>
        <v>1716.5948073028296</v>
      </c>
      <c r="D57" s="186">
        <f t="shared" si="1"/>
        <v>82.61686238355864</v>
      </c>
      <c r="E57" s="206">
        <f t="shared" si="2"/>
        <v>98900.448050686842</v>
      </c>
      <c r="F57" s="189">
        <f t="shared" si="3"/>
        <v>31732.764080434281</v>
      </c>
      <c r="G57" s="189">
        <f t="shared" si="4"/>
        <v>6346.5528160868553</v>
      </c>
      <c r="H57" s="189">
        <f>($F$19*(1+$G$19)^(B57-B$36)+$F$20*(1+$G$20)^(B57-B$36))*(B57&gt;=E1_Projektdaten!$D$22)*VLOOKUP(B57,E1_Projektdaten!$D$58:$I$60,6)/100</f>
        <v>22183.054926254041</v>
      </c>
      <c r="I57" s="189">
        <f>$F$21*(1+$G$21)^(B57-B$36)*(B57&gt;=E1_Projektdaten!$D$22)*VLOOKUP(B57,E1_Projektdaten!$D$58:$I$60,6)/100</f>
        <v>29454.167374303976</v>
      </c>
      <c r="J57" s="189">
        <f t="shared" si="10"/>
        <v>21443.619762045571</v>
      </c>
      <c r="K57" s="190"/>
      <c r="L57" s="191"/>
      <c r="M57" s="185">
        <f t="shared" si="5"/>
        <v>0</v>
      </c>
      <c r="N57" s="188">
        <f>+(E1_Projektdaten!$D$48*(1+Eing_allg_Teuerung/100)^(E1_Projektdaten!$I$48*ROUNDDOWN((AD57-1)/E1_Projektdaten!$I$48,0))/E1_Projektdaten!$I$48
+E1_Projektdaten!$D$49*(1+Eing_allg_Teuerung/100)^(E1_Projektdaten!$I$49*ROUNDDOWN((AD57-1)/E1_Projektdaten!$I$49,0))/E1_Projektdaten!$I$49
+E1_Projektdaten!$D$50*(1+Eing_allg_Teuerung/100)^(E1_Projektdaten!$I$50*ROUNDDOWN((AD57-1)/E1_Projektdaten!$I$50,0))/E1_Projektdaten!$I$50
+E1_Projektdaten!$D$51*(1+Eing_allg_Teuerung/100)^(E1_Projektdaten!$I$51*ROUNDDOWN((AD57-1)/E1_Projektdaten!$I$51,0))/E1_Projektdaten!$I$51
+E1_Projektdaten!$D$52*(1+Eing_allg_Teuerung/100)^(E1_Projektdaten!$I$52*ROUNDDOWN((AD57-1)/E1_Projektdaten!$I$52,0))/E1_Projektdaten!$I$52
+E1_Projektdaten!$D$53*(1+Eing_allg_Teuerung/100)^(E1_Projektdaten!$I$53*ROUNDDOWN((AD57-1)/E1_Projektdaten!$I$53,0))/E1_Projektdaten!$I$53
)*((AD57)&gt;0)*VLOOKUP(B57,E1_Projektdaten!$D$58:$I$60,6
)/100</f>
        <v>44047.958607159999</v>
      </c>
      <c r="O57" s="194">
        <f t="shared" si="11"/>
        <v>254108.56561697152</v>
      </c>
      <c r="P57" s="206">
        <f>SUM((SUMPRODUCT((E3_Verbraucher!$D$21:$XFD$21&lt;B1_Berechnungen!B57)*E3_Verbraucher!$D$25:$XFD$25)+SUMPRODUCT((E3_Verbraucher!$D$21:$XFD$21=B1_Berechnungen!B57)*E3_Verbraucher!$D$25:$XFD$25*E3_Verbraucher!$D$20:$XFD$20))*(1+$G$24)^(B57-B$36),(SUMPRODUCT((E3_Verbraucher!$D$21:$XFD$21&lt;B1_Berechnungen!B57)*E3_Verbraucher!$D$26:$XFD$26)+SUMPRODUCT((E3_Verbraucher!$D$21:$XFD$21=B1_Berechnungen!B57)*E3_Verbraucher!$D$26:$XFD$26*E3_Verbraucher!$D$20:$XFD$20))*((1+$G$24)*(1-E1_Projektdaten!$D$19/100))^(B57-B$36))</f>
        <v>304978.93832177424</v>
      </c>
      <c r="Q57" s="189">
        <f>SUMPRODUCT((E3_Verbraucher!$D$21:$XFD$21=B1_Berechnungen!B57)*E3_Verbraucher!$D$23:$XFD$23)</f>
        <v>0</v>
      </c>
      <c r="R57" s="358">
        <f>SUM(jährlicher_Förderbeitrag*(B57-Erstauszahlung_jährlFörderung&lt;=Eing_Förderung_wiederholend_Laufzeit-1)*(B57&gt;=E1_Projektdaten!$D$83),E1_Projektdaten!$D$76*(B57=E1_Projektdaten!$D$77),E1_Projektdaten!$D$78*(B57=E1_Projektdaten!$D$79))</f>
        <v>0</v>
      </c>
      <c r="S57" s="190"/>
      <c r="T57" s="193"/>
      <c r="U57" s="194">
        <f t="shared" si="12"/>
        <v>304978.93832177424</v>
      </c>
      <c r="V57" s="195">
        <f t="shared" si="13"/>
        <v>50870.372704802721</v>
      </c>
      <c r="W57" s="194">
        <f t="shared" si="18"/>
        <v>1476461.8785019808</v>
      </c>
      <c r="X57" s="188">
        <f>E1_Projektdaten!$D$48*(AD57-1=E1_Projektdaten!$I$48)*(1+Eing_allg_Teuerung/100)^E1_Projektdaten!$I$48
+E1_Projektdaten!$D$49*(AD57-1=E1_Projektdaten!$I$49)*(1+Eing_allg_Teuerung/100)^E1_Projektdaten!$I$49
+E1_Projektdaten!$D$50*(AD57-1=E1_Projektdaten!$I$50)*(1+Eing_allg_Teuerung/100)^E1_Projektdaten!$I$50
+E1_Projektdaten!$D$51*(AD57-1=E1_Projektdaten!$I$51)*(1+Eing_allg_Teuerung/100)^E1_Projektdaten!$I$51
+E1_Projektdaten!$D$52*(AD57-1=E1_Projektdaten!$I$52)*(1+Eing_allg_Teuerung/100)^E1_Projektdaten!$I$52
+E1_Projektdaten!$D$53*(AD57-1=E1_Projektdaten!$I$53)*(1+Eing_allg_Teuerung/100)^E1_Projektdaten!$I$53
+Gesamtinvestition*SUMPRODUCT((E1_Projektdaten!$D$58:$D$60=B57)*E1_Projektdaten!$F$58:$F$60)/100</f>
        <v>0</v>
      </c>
      <c r="Y57" s="196">
        <f t="shared" si="6"/>
        <v>0</v>
      </c>
      <c r="Z57" s="185">
        <f t="shared" si="7"/>
        <v>0</v>
      </c>
      <c r="AA57" s="187">
        <f t="shared" si="14"/>
        <v>94918.331311962713</v>
      </c>
      <c r="AB57" s="197">
        <f t="shared" si="15"/>
        <v>695982.29243038048</v>
      </c>
      <c r="AC57" s="198"/>
      <c r="AD57" s="199">
        <f>MAX(B1_Berechnungen!B57+1-E1_Projektdaten!$D$22,0)</f>
        <v>20</v>
      </c>
      <c r="AE57" s="200">
        <f t="shared" si="8"/>
        <v>0</v>
      </c>
      <c r="AF57" s="201">
        <f>E1_Projektdaten!$D$48*(AD57-1=E1_Projektdaten!$I$48)*(1+Eing_allg_Teuerung/100)^E1_Projektdaten!$I$48
+E1_Projektdaten!$D$49*(AD57-1=E1_Projektdaten!$I$49)*(1+Eing_allg_Teuerung/100)^E1_Projektdaten!$I$49
+E1_Projektdaten!$D$50*(AD57-1=E1_Projektdaten!$I$50)*(1+Eing_allg_Teuerung/100)^E1_Projektdaten!$I$50
+E1_Projektdaten!$D$51*(AD57-1=E1_Projektdaten!$I$51)*(1+Eing_allg_Teuerung/100)^E1_Projektdaten!$I$51
+E1_Projektdaten!$D$52*(AD57-1=E1_Projektdaten!$I$52)*(1+Eing_allg_Teuerung/100)^E1_Projektdaten!$I$52
+E1_Projektdaten!$D$53*(AD57-1=E1_Projektdaten!$I$53)*(1+Eing_allg_Teuerung/100)^E1_Projektdaten!$I$53
+(Gesamtinvestition-SUM(E1_Projektdaten!$D$54:$D$55))*SUMPRODUCT((E1_Projektdaten!$D$58:$D$60=B57)*E1_Projektdaten!$F$58:$F$60)/100+AF56-N57</f>
        <v>565479.58607160021</v>
      </c>
      <c r="AG57" s="202">
        <f>IF(ISNUMBER(IRR((AJ$36:AJ56,AI57))),IRR((AJ$36:AJ56,AI57)),"-")</f>
        <v>6.306750512306647E-2</v>
      </c>
      <c r="AH57" s="203">
        <f t="shared" si="9"/>
        <v>2043</v>
      </c>
      <c r="AI57" s="204">
        <f t="shared" si="19"/>
        <v>660397.91738356289</v>
      </c>
      <c r="AJ57" s="204">
        <f t="shared" si="16"/>
        <v>94918.331311962713</v>
      </c>
    </row>
    <row r="58" spans="2:36" ht="12.95" customHeight="1" x14ac:dyDescent="0.2">
      <c r="B58" s="184">
        <f t="shared" si="17"/>
        <v>2044</v>
      </c>
      <c r="C58" s="205">
        <f>(SUMPRODUCT((E3_Verbraucher!$D$21:$XFD$21&lt;B1_Berechnungen!B58)*E3_Verbraucher!$D$18:$XFD$18)+SUMPRODUCT((E3_Verbraucher!$D$21:$XFD$21=B1_Berechnungen!B58)*E3_Verbraucher!$D$18:$XFD$18*E3_Verbraucher!$D$20:$XFD$20))/(100-Eing_Netzverluste)*100*(1-E1_Projektdaten!$D$19/100)^(B1_Berechnungen!B58-E1_Projektdaten!$D$22)</f>
        <v>1699.4288592298014</v>
      </c>
      <c r="D58" s="186">
        <f t="shared" si="1"/>
        <v>81.790693759723069</v>
      </c>
      <c r="E58" s="206">
        <f t="shared" si="2"/>
        <v>98890.55800588183</v>
      </c>
      <c r="F58" s="189">
        <f t="shared" si="3"/>
        <v>31729.590804026247</v>
      </c>
      <c r="G58" s="189">
        <f t="shared" si="4"/>
        <v>6345.9181608052495</v>
      </c>
      <c r="H58" s="189">
        <f>($F$19*(1+$G$19)^(B58-B$36)+$F$20*(1+$G$20)^(B58-B$36))*(B58&gt;=E1_Projektdaten!$D$22)*VLOOKUP(B58,E1_Projektdaten!$D$58:$I$60,6)/100</f>
        <v>22404.885475516585</v>
      </c>
      <c r="I58" s="189">
        <f>$F$21*(1+$G$21)^(B58-B$36)*(B58&gt;=E1_Projektdaten!$D$22)*VLOOKUP(B58,E1_Projektdaten!$D$58:$I$60,6)/100</f>
        <v>29748.709048047018</v>
      </c>
      <c r="J58" s="189">
        <f t="shared" si="10"/>
        <v>21658.055959666031</v>
      </c>
      <c r="K58" s="190"/>
      <c r="L58" s="191"/>
      <c r="M58" s="185">
        <f t="shared" si="5"/>
        <v>0</v>
      </c>
      <c r="N58" s="188">
        <f>+(E1_Projektdaten!$D$48*(1+Eing_allg_Teuerung/100)^(E1_Projektdaten!$I$48*ROUNDDOWN((AD58-1)/E1_Projektdaten!$I$48,0))/E1_Projektdaten!$I$48
+E1_Projektdaten!$D$49*(1+Eing_allg_Teuerung/100)^(E1_Projektdaten!$I$49*ROUNDDOWN((AD58-1)/E1_Projektdaten!$I$49,0))/E1_Projektdaten!$I$49
+E1_Projektdaten!$D$50*(1+Eing_allg_Teuerung/100)^(E1_Projektdaten!$I$50*ROUNDDOWN((AD58-1)/E1_Projektdaten!$I$50,0))/E1_Projektdaten!$I$50
+E1_Projektdaten!$D$51*(1+Eing_allg_Teuerung/100)^(E1_Projektdaten!$I$51*ROUNDDOWN((AD58-1)/E1_Projektdaten!$I$51,0))/E1_Projektdaten!$I$51
+E1_Projektdaten!$D$52*(1+Eing_allg_Teuerung/100)^(E1_Projektdaten!$I$52*ROUNDDOWN((AD58-1)/E1_Projektdaten!$I$52,0))/E1_Projektdaten!$I$52
+E1_Projektdaten!$D$53*(1+Eing_allg_Teuerung/100)^(E1_Projektdaten!$I$53*ROUNDDOWN((AD58-1)/E1_Projektdaten!$I$53,0))/E1_Projektdaten!$I$53
)*((AD58)&gt;0)*VLOOKUP(B58,E1_Projektdaten!$D$58:$I$60,6
)/100</f>
        <v>48451.75940611933</v>
      </c>
      <c r="O58" s="194">
        <f t="shared" si="11"/>
        <v>259229.47686006228</v>
      </c>
      <c r="P58" s="206">
        <f>SUM((SUMPRODUCT((E3_Verbraucher!$D$21:$XFD$21&lt;B1_Berechnungen!B58)*E3_Verbraucher!$D$25:$XFD$25)+SUMPRODUCT((E3_Verbraucher!$D$21:$XFD$21=B1_Berechnungen!B58)*E3_Verbraucher!$D$25:$XFD$25*E3_Verbraucher!$D$20:$XFD$20))*(1+$G$24)^(B58-B$36),(SUMPRODUCT((E3_Verbraucher!$D$21:$XFD$21&lt;B1_Berechnungen!B58)*E3_Verbraucher!$D$26:$XFD$26)+SUMPRODUCT((E3_Verbraucher!$D$21:$XFD$21=B1_Berechnungen!B58)*E3_Verbraucher!$D$26:$XFD$26*E3_Verbraucher!$D$20:$XFD$20))*((1+$G$24)*(1-E1_Projektdaten!$D$19/100))^(B58-B$36))</f>
        <v>306143.99001123285</v>
      </c>
      <c r="Q58" s="189">
        <f>SUMPRODUCT((E3_Verbraucher!$D$21:$XFD$21=B1_Berechnungen!B58)*E3_Verbraucher!$D$23:$XFD$23)</f>
        <v>0</v>
      </c>
      <c r="R58" s="358">
        <f>SUM(jährlicher_Förderbeitrag*(B58-Erstauszahlung_jährlFörderung&lt;=Eing_Förderung_wiederholend_Laufzeit-1)*(B58&gt;=E1_Projektdaten!$D$83),E1_Projektdaten!$D$76*(B58=E1_Projektdaten!$D$77),E1_Projektdaten!$D$78*(B58=E1_Projektdaten!$D$79))</f>
        <v>0</v>
      </c>
      <c r="S58" s="190"/>
      <c r="T58" s="193"/>
      <c r="U58" s="194">
        <f t="shared" si="12"/>
        <v>306143.99001123285</v>
      </c>
      <c r="V58" s="195">
        <f t="shared" si="13"/>
        <v>46914.513151170569</v>
      </c>
      <c r="W58" s="194">
        <f t="shared" si="18"/>
        <v>1523376.3916531513</v>
      </c>
      <c r="X58" s="188">
        <f>E1_Projektdaten!$D$48*(AD58-1=E1_Projektdaten!$I$48)*(1+Eing_allg_Teuerung/100)^E1_Projektdaten!$I$48
+E1_Projektdaten!$D$49*(AD58-1=E1_Projektdaten!$I$49)*(1+Eing_allg_Teuerung/100)^E1_Projektdaten!$I$49
+E1_Projektdaten!$D$50*(AD58-1=E1_Projektdaten!$I$50)*(1+Eing_allg_Teuerung/100)^E1_Projektdaten!$I$50
+E1_Projektdaten!$D$51*(AD58-1=E1_Projektdaten!$I$51)*(1+Eing_allg_Teuerung/100)^E1_Projektdaten!$I$51
+E1_Projektdaten!$D$52*(AD58-1=E1_Projektdaten!$I$52)*(1+Eing_allg_Teuerung/100)^E1_Projektdaten!$I$52
+E1_Projektdaten!$D$53*(AD58-1=E1_Projektdaten!$I$53)*(1+Eing_allg_Teuerung/100)^E1_Projektdaten!$I$53
+Gesamtinvestition*SUMPRODUCT((E1_Projektdaten!$D$58:$D$60=B58)*E1_Projektdaten!$F$58:$F$60)/100</f>
        <v>488076.01597918681</v>
      </c>
      <c r="Y58" s="196">
        <f t="shared" si="6"/>
        <v>0</v>
      </c>
      <c r="Z58" s="185">
        <f t="shared" si="7"/>
        <v>0</v>
      </c>
      <c r="AA58" s="187">
        <f t="shared" si="14"/>
        <v>-392709.74342189694</v>
      </c>
      <c r="AB58" s="197">
        <f t="shared" si="15"/>
        <v>303272.54900848353</v>
      </c>
      <c r="AC58" s="198"/>
      <c r="AD58" s="199">
        <f>MAX(B1_Berechnungen!B58+1-E1_Projektdaten!$D$22,0)</f>
        <v>21</v>
      </c>
      <c r="AE58" s="200">
        <f t="shared" si="8"/>
        <v>0</v>
      </c>
      <c r="AF58" s="201">
        <f>E1_Projektdaten!$D$48*(AD58-1=E1_Projektdaten!$I$48)*(1+Eing_allg_Teuerung/100)^E1_Projektdaten!$I$48
+E1_Projektdaten!$D$49*(AD58-1=E1_Projektdaten!$I$49)*(1+Eing_allg_Teuerung/100)^E1_Projektdaten!$I$49
+E1_Projektdaten!$D$50*(AD58-1=E1_Projektdaten!$I$50)*(1+Eing_allg_Teuerung/100)^E1_Projektdaten!$I$50
+E1_Projektdaten!$D$51*(AD58-1=E1_Projektdaten!$I$51)*(1+Eing_allg_Teuerung/100)^E1_Projektdaten!$I$51
+E1_Projektdaten!$D$52*(AD58-1=E1_Projektdaten!$I$52)*(1+Eing_allg_Teuerung/100)^E1_Projektdaten!$I$52
+E1_Projektdaten!$D$53*(AD58-1=E1_Projektdaten!$I$53)*(1+Eing_allg_Teuerung/100)^E1_Projektdaten!$I$53
+(Gesamtinvestition-SUM(E1_Projektdaten!$D$54:$D$55))*SUMPRODUCT((E1_Projektdaten!$D$58:$D$60=B58)*E1_Projektdaten!$F$58:$F$60)/100+AF57-N58</f>
        <v>1005103.8426446677</v>
      </c>
      <c r="AG58" s="202">
        <f>IF(ISNUMBER(IRR((AJ$36:AJ57,AI58))),IRR((AJ$36:AJ57,AI58)),"-")</f>
        <v>6.3322331601795678E-2</v>
      </c>
      <c r="AH58" s="203">
        <f t="shared" si="9"/>
        <v>2044</v>
      </c>
      <c r="AI58" s="204">
        <f t="shared" si="19"/>
        <v>612394.09922277089</v>
      </c>
      <c r="AJ58" s="204">
        <f t="shared" si="16"/>
        <v>-392709.74342189688</v>
      </c>
    </row>
    <row r="59" spans="2:36" ht="12.95" customHeight="1" x14ac:dyDescent="0.2">
      <c r="B59" s="184">
        <f t="shared" si="17"/>
        <v>2045</v>
      </c>
      <c r="C59" s="205">
        <f>(SUMPRODUCT((E3_Verbraucher!$D$21:$XFD$21&lt;B1_Berechnungen!B59)*E3_Verbraucher!$D$18:$XFD$18)+SUMPRODUCT((E3_Verbraucher!$D$21:$XFD$21=B1_Berechnungen!B59)*E3_Verbraucher!$D$18:$XFD$18*E3_Verbraucher!$D$20:$XFD$20))/(100-Eing_Netzverluste)*100*(1-E1_Projektdaten!$D$19/100)^(B1_Berechnungen!B59-E1_Projektdaten!$D$22)</f>
        <v>1682.4345706375034</v>
      </c>
      <c r="D59" s="186">
        <f t="shared" si="1"/>
        <v>80.972786822125826</v>
      </c>
      <c r="E59" s="206">
        <f t="shared" si="2"/>
        <v>98880.668950081206</v>
      </c>
      <c r="F59" s="189">
        <f t="shared" si="3"/>
        <v>31726.417844945838</v>
      </c>
      <c r="G59" s="189">
        <f t="shared" si="4"/>
        <v>6345.2835689891663</v>
      </c>
      <c r="H59" s="189">
        <f>($F$19*(1+$G$19)^(B59-B$36)+$F$20*(1+$G$20)^(B59-B$36))*(B59&gt;=E1_Projektdaten!$D$22)*VLOOKUP(B59,E1_Projektdaten!$D$58:$I$60,6)/100</f>
        <v>22628.934330271746</v>
      </c>
      <c r="I59" s="189">
        <f>$F$21*(1+$G$21)^(B59-B$36)*(B59&gt;=E1_Projektdaten!$D$22)*VLOOKUP(B59,E1_Projektdaten!$D$58:$I$60,6)/100</f>
        <v>30046.196138527488</v>
      </c>
      <c r="J59" s="189">
        <f t="shared" si="10"/>
        <v>21874.636519262687</v>
      </c>
      <c r="K59" s="190"/>
      <c r="L59" s="191"/>
      <c r="M59" s="185">
        <f t="shared" si="5"/>
        <v>0</v>
      </c>
      <c r="N59" s="188">
        <f>+(E1_Projektdaten!$D$48*(1+Eing_allg_Teuerung/100)^(E1_Projektdaten!$I$48*ROUNDDOWN((AD59-1)/E1_Projektdaten!$I$48,0))/E1_Projektdaten!$I$48
+E1_Projektdaten!$D$49*(1+Eing_allg_Teuerung/100)^(E1_Projektdaten!$I$49*ROUNDDOWN((AD59-1)/E1_Projektdaten!$I$49,0))/E1_Projektdaten!$I$49
+E1_Projektdaten!$D$50*(1+Eing_allg_Teuerung/100)^(E1_Projektdaten!$I$50*ROUNDDOWN((AD59-1)/E1_Projektdaten!$I$50,0))/E1_Projektdaten!$I$50
+E1_Projektdaten!$D$51*(1+Eing_allg_Teuerung/100)^(E1_Projektdaten!$I$51*ROUNDDOWN((AD59-1)/E1_Projektdaten!$I$51,0))/E1_Projektdaten!$I$51
+E1_Projektdaten!$D$52*(1+Eing_allg_Teuerung/100)^(E1_Projektdaten!$I$52*ROUNDDOWN((AD59-1)/E1_Projektdaten!$I$52,0))/E1_Projektdaten!$I$52
+E1_Projektdaten!$D$53*(1+Eing_allg_Teuerung/100)^(E1_Projektdaten!$I$53*ROUNDDOWN((AD59-1)/E1_Projektdaten!$I$53,0))/E1_Projektdaten!$I$53
)*((AD59)&gt;0)*VLOOKUP(B59,E1_Projektdaten!$D$58:$I$60,6
)/100</f>
        <v>48451.75940611933</v>
      </c>
      <c r="O59" s="194">
        <f t="shared" si="11"/>
        <v>259953.89675819743</v>
      </c>
      <c r="P59" s="206">
        <f>SUM((SUMPRODUCT((E3_Verbraucher!$D$21:$XFD$21&lt;B1_Berechnungen!B59)*E3_Verbraucher!$D$25:$XFD$25)+SUMPRODUCT((E3_Verbraucher!$D$21:$XFD$21=B1_Berechnungen!B59)*E3_Verbraucher!$D$25:$XFD$25*E3_Verbraucher!$D$20:$XFD$20))*(1+$G$24)^(B59-B$36),(SUMPRODUCT((E3_Verbraucher!$D$21:$XFD$21&lt;B1_Berechnungen!B59)*E3_Verbraucher!$D$26:$XFD$26)+SUMPRODUCT((E3_Verbraucher!$D$21:$XFD$21=B1_Berechnungen!B59)*E3_Verbraucher!$D$26:$XFD$26*E3_Verbraucher!$D$20:$XFD$20))*((1+$G$24)*(1-E1_Projektdaten!$D$19/100))^(B59-B$36))</f>
        <v>307320.88069135533</v>
      </c>
      <c r="Q59" s="189">
        <f>SUMPRODUCT((E3_Verbraucher!$D$21:$XFD$21=B1_Berechnungen!B59)*E3_Verbraucher!$D$23:$XFD$23)</f>
        <v>0</v>
      </c>
      <c r="R59" s="358">
        <f>SUM(jährlicher_Förderbeitrag*(B59-Erstauszahlung_jährlFörderung&lt;=Eing_Förderung_wiederholend_Laufzeit-1)*(B59&gt;=E1_Projektdaten!$D$83),E1_Projektdaten!$D$76*(B59=E1_Projektdaten!$D$77),E1_Projektdaten!$D$78*(B59=E1_Projektdaten!$D$79))</f>
        <v>0</v>
      </c>
      <c r="S59" s="190"/>
      <c r="T59" s="193"/>
      <c r="U59" s="194">
        <f t="shared" si="12"/>
        <v>307320.88069135533</v>
      </c>
      <c r="V59" s="195">
        <f t="shared" si="13"/>
        <v>47366.983933157899</v>
      </c>
      <c r="W59" s="194">
        <f t="shared" si="18"/>
        <v>1570743.3755863092</v>
      </c>
      <c r="X59" s="188">
        <f>E1_Projektdaten!$D$48*(AD59-1=E1_Projektdaten!$I$48)*(1+Eing_allg_Teuerung/100)^E1_Projektdaten!$I$48
+E1_Projektdaten!$D$49*(AD59-1=E1_Projektdaten!$I$49)*(1+Eing_allg_Teuerung/100)^E1_Projektdaten!$I$49
+E1_Projektdaten!$D$50*(AD59-1=E1_Projektdaten!$I$50)*(1+Eing_allg_Teuerung/100)^E1_Projektdaten!$I$50
+E1_Projektdaten!$D$51*(AD59-1=E1_Projektdaten!$I$51)*(1+Eing_allg_Teuerung/100)^E1_Projektdaten!$I$51
+E1_Projektdaten!$D$52*(AD59-1=E1_Projektdaten!$I$52)*(1+Eing_allg_Teuerung/100)^E1_Projektdaten!$I$52
+E1_Projektdaten!$D$53*(AD59-1=E1_Projektdaten!$I$53)*(1+Eing_allg_Teuerung/100)^E1_Projektdaten!$I$53
+Gesamtinvestition*SUMPRODUCT((E1_Projektdaten!$D$58:$D$60=B59)*E1_Projektdaten!$F$58:$F$60)/100</f>
        <v>0</v>
      </c>
      <c r="Y59" s="196">
        <f t="shared" si="6"/>
        <v>0</v>
      </c>
      <c r="Z59" s="185">
        <f t="shared" si="7"/>
        <v>0</v>
      </c>
      <c r="AA59" s="187">
        <f t="shared" si="14"/>
        <v>95818.743339277222</v>
      </c>
      <c r="AB59" s="197">
        <f t="shared" si="15"/>
        <v>399091.29234776075</v>
      </c>
      <c r="AC59" s="198"/>
      <c r="AD59" s="199">
        <f>MAX(B1_Berechnungen!B59+1-E1_Projektdaten!$D$22,0)</f>
        <v>22</v>
      </c>
      <c r="AE59" s="200">
        <f t="shared" si="8"/>
        <v>0</v>
      </c>
      <c r="AF59" s="201">
        <f>E1_Projektdaten!$D$48*(AD59-1=E1_Projektdaten!$I$48)*(1+Eing_allg_Teuerung/100)^E1_Projektdaten!$I$48
+E1_Projektdaten!$D$49*(AD59-1=E1_Projektdaten!$I$49)*(1+Eing_allg_Teuerung/100)^E1_Projektdaten!$I$49
+E1_Projektdaten!$D$50*(AD59-1=E1_Projektdaten!$I$50)*(1+Eing_allg_Teuerung/100)^E1_Projektdaten!$I$50
+E1_Projektdaten!$D$51*(AD59-1=E1_Projektdaten!$I$51)*(1+Eing_allg_Teuerung/100)^E1_Projektdaten!$I$51
+E1_Projektdaten!$D$52*(AD59-1=E1_Projektdaten!$I$52)*(1+Eing_allg_Teuerung/100)^E1_Projektdaten!$I$52
+E1_Projektdaten!$D$53*(AD59-1=E1_Projektdaten!$I$53)*(1+Eing_allg_Teuerung/100)^E1_Projektdaten!$I$53
+(Gesamtinvestition-SUM(E1_Projektdaten!$D$54:$D$55))*SUMPRODUCT((E1_Projektdaten!$D$58:$D$60=B59)*E1_Projektdaten!$F$58:$F$60)/100+AF58-N59</f>
        <v>956652.08323854837</v>
      </c>
      <c r="AG59" s="202">
        <f>IF(ISNUMBER(IRR((AJ$36:AJ58,AI59))),IRR((AJ$36:AJ58,AI59)),"-")</f>
        <v>6.2982400248165593E-2</v>
      </c>
      <c r="AH59" s="203">
        <f t="shared" si="9"/>
        <v>2045</v>
      </c>
      <c r="AI59" s="204">
        <f t="shared" si="19"/>
        <v>1052470.8265778255</v>
      </c>
      <c r="AJ59" s="204">
        <f t="shared" si="16"/>
        <v>95818.743339277222</v>
      </c>
    </row>
    <row r="60" spans="2:36" ht="12.75" customHeight="1" x14ac:dyDescent="0.2">
      <c r="B60" s="207">
        <f t="shared" si="17"/>
        <v>2046</v>
      </c>
      <c r="C60" s="208">
        <f>(SUMPRODUCT((E3_Verbraucher!$D$21:$XFD$21&lt;B1_Berechnungen!B60)*E3_Verbraucher!$D$18:$XFD$18)+SUMPRODUCT((E3_Verbraucher!$D$21:$XFD$21=B1_Berechnungen!B60)*E3_Verbraucher!$D$18:$XFD$18*E3_Verbraucher!$D$20:$XFD$20))/(100-Eing_Netzverluste)*100*(1-E1_Projektdaten!$D$19/100)^(B1_Berechnungen!B60-E1_Projektdaten!$D$22)</f>
        <v>1665.6102249311282</v>
      </c>
      <c r="D60" s="209">
        <f t="shared" si="1"/>
        <v>80.163058953904567</v>
      </c>
      <c r="E60" s="210">
        <f t="shared" si="2"/>
        <v>98870.780883186206</v>
      </c>
      <c r="F60" s="208">
        <f t="shared" si="3"/>
        <v>31723.24520316135</v>
      </c>
      <c r="G60" s="208">
        <f t="shared" si="4"/>
        <v>6344.64904063227</v>
      </c>
      <c r="H60" s="208">
        <f>($F$19*(1+$G$19)^(B60-B$36)+$F$20*(1+$G$20)^(B60-B$36))*(B60&gt;=E1_Projektdaten!$D$22)*VLOOKUP(B60,E1_Projektdaten!$D$58:$I$60,6)/100</f>
        <v>22855.223673574466</v>
      </c>
      <c r="I60" s="208">
        <f>$F$21*(1+$G$21)^(B60-B$36)*(B60&gt;=E1_Projektdaten!$D$22)*VLOOKUP(B60,E1_Projektdaten!$D$58:$I$60,6)/100</f>
        <v>30346.658099912769</v>
      </c>
      <c r="J60" s="208">
        <f t="shared" si="10"/>
        <v>22093.382884455321</v>
      </c>
      <c r="K60" s="211"/>
      <c r="L60" s="212"/>
      <c r="M60" s="213">
        <f t="shared" si="5"/>
        <v>0</v>
      </c>
      <c r="N60" s="214">
        <f>+(E1_Projektdaten!$D$48*(1+Eing_allg_Teuerung/100)^(E1_Projektdaten!$I$48*ROUNDDOWN((AD60-1)/E1_Projektdaten!$I$48,0))/E1_Projektdaten!$I$48
+E1_Projektdaten!$D$49*(1+Eing_allg_Teuerung/100)^(E1_Projektdaten!$I$49*ROUNDDOWN((AD60-1)/E1_Projektdaten!$I$49,0))/E1_Projektdaten!$I$49
+E1_Projektdaten!$D$50*(1+Eing_allg_Teuerung/100)^(E1_Projektdaten!$I$50*ROUNDDOWN((AD60-1)/E1_Projektdaten!$I$50,0))/E1_Projektdaten!$I$50
+E1_Projektdaten!$D$51*(1+Eing_allg_Teuerung/100)^(E1_Projektdaten!$I$51*ROUNDDOWN((AD60-1)/E1_Projektdaten!$I$51,0))/E1_Projektdaten!$I$51
+E1_Projektdaten!$D$52*(1+Eing_allg_Teuerung/100)^(E1_Projektdaten!$I$52*ROUNDDOWN((AD60-1)/E1_Projektdaten!$I$52,0))/E1_Projektdaten!$I$52
+E1_Projektdaten!$D$53*(1+Eing_allg_Teuerung/100)^(E1_Projektdaten!$I$53*ROUNDDOWN((AD60-1)/E1_Projektdaten!$I$53,0))/E1_Projektdaten!$I$53
)*((AD60)&gt;0)*VLOOKUP(B60,E1_Projektdaten!$D$58:$I$60,6
)/100</f>
        <v>48451.75940611933</v>
      </c>
      <c r="O60" s="215">
        <f t="shared" si="11"/>
        <v>260685.6991910417</v>
      </c>
      <c r="P60" s="210">
        <f>SUM((SUMPRODUCT((E3_Verbraucher!$D$21:$XFD$21&lt;B1_Berechnungen!B60)*E3_Verbraucher!$D$25:$XFD$25)+SUMPRODUCT((E3_Verbraucher!$D$21:$XFD$21=B1_Berechnungen!B60)*E3_Verbraucher!$D$25:$XFD$25*E3_Verbraucher!$D$20:$XFD$20))*(1+$G$24)^(B60-B$36),(SUMPRODUCT((E3_Verbraucher!$D$21:$XFD$21&lt;B1_Berechnungen!B60)*E3_Verbraucher!$D$26:$XFD$26)+SUMPRODUCT((E3_Verbraucher!$D$21:$XFD$21=B1_Berechnungen!B60)*E3_Verbraucher!$D$26:$XFD$26*E3_Verbraucher!$D$20:$XFD$20))*((1+$G$24)*(1-E1_Projektdaten!$D$19/100))^(B60-B$36))</f>
        <v>308509.72873320116</v>
      </c>
      <c r="Q60" s="208">
        <f>SUMPRODUCT((E3_Verbraucher!$D$21:$XFD$21=B1_Berechnungen!B60)*E3_Verbraucher!$D$23:$XFD$23)</f>
        <v>0</v>
      </c>
      <c r="R60" s="359">
        <f>SUM(jährlicher_Förderbeitrag*(B60-Erstauszahlung_jährlFörderung&lt;=Eing_Förderung_wiederholend_Laufzeit-1)*(B60&gt;=E1_Projektdaten!$D$83),E1_Projektdaten!$D$76*(B60=E1_Projektdaten!$D$77),E1_Projektdaten!$D$78*(B60=E1_Projektdaten!$D$79))</f>
        <v>0</v>
      </c>
      <c r="S60" s="211"/>
      <c r="T60" s="216"/>
      <c r="U60" s="215">
        <f t="shared" si="12"/>
        <v>308509.72873320116</v>
      </c>
      <c r="V60" s="217">
        <f t="shared" si="13"/>
        <v>47824.029542159464</v>
      </c>
      <c r="W60" s="218">
        <f t="shared" si="18"/>
        <v>1618567.4051284688</v>
      </c>
      <c r="X60" s="214">
        <f>E1_Projektdaten!$D$48*(AD60-1=E1_Projektdaten!$I$48)*(1+Eing_allg_Teuerung/100)^E1_Projektdaten!$I$48
+E1_Projektdaten!$D$49*(AD60-1=E1_Projektdaten!$I$49)*(1+Eing_allg_Teuerung/100)^E1_Projektdaten!$I$49
+E1_Projektdaten!$D$50*(AD60-1=E1_Projektdaten!$I$50)*(1+Eing_allg_Teuerung/100)^E1_Projektdaten!$I$50
+E1_Projektdaten!$D$51*(AD60-1=E1_Projektdaten!$I$51)*(1+Eing_allg_Teuerung/100)^E1_Projektdaten!$I$51
+E1_Projektdaten!$D$52*(AD60-1=E1_Projektdaten!$I$52)*(1+Eing_allg_Teuerung/100)^E1_Projektdaten!$I$52
+E1_Projektdaten!$D$53*(AD60-1=E1_Projektdaten!$I$53)*(1+Eing_allg_Teuerung/100)^E1_Projektdaten!$I$53
+Gesamtinvestition*SUMPRODUCT((E1_Projektdaten!$D$58:$D$60=B60)*E1_Projektdaten!$F$58:$F$60)/100</f>
        <v>0</v>
      </c>
      <c r="Y60" s="219">
        <f t="shared" si="6"/>
        <v>0</v>
      </c>
      <c r="Z60" s="213">
        <f t="shared" si="7"/>
        <v>0</v>
      </c>
      <c r="AA60" s="220">
        <f t="shared" si="14"/>
        <v>96275.788948278787</v>
      </c>
      <c r="AB60" s="221">
        <f t="shared" si="15"/>
        <v>495367.08129603951</v>
      </c>
      <c r="AC60" s="222"/>
      <c r="AD60" s="223">
        <f>MAX(B1_Berechnungen!B60+1-E1_Projektdaten!$D$22,0)</f>
        <v>23</v>
      </c>
      <c r="AE60" s="224">
        <f t="shared" si="8"/>
        <v>0</v>
      </c>
      <c r="AF60" s="225">
        <f>E1_Projektdaten!$D$48*(AD60-1=E1_Projektdaten!$I$48)*(1+Eing_allg_Teuerung/100)^E1_Projektdaten!$I$48
+E1_Projektdaten!$D$49*(AD60-1=E1_Projektdaten!$I$49)*(1+Eing_allg_Teuerung/100)^E1_Projektdaten!$I$49
+E1_Projektdaten!$D$50*(AD60-1=E1_Projektdaten!$I$50)*(1+Eing_allg_Teuerung/100)^E1_Projektdaten!$I$50
+E1_Projektdaten!$D$51*(AD60-1=E1_Projektdaten!$I$51)*(1+Eing_allg_Teuerung/100)^E1_Projektdaten!$I$51
+E1_Projektdaten!$D$52*(AD60-1=E1_Projektdaten!$I$52)*(1+Eing_allg_Teuerung/100)^E1_Projektdaten!$I$52
+E1_Projektdaten!$D$53*(AD60-1=E1_Projektdaten!$I$53)*(1+Eing_allg_Teuerung/100)^E1_Projektdaten!$I$53
+(Gesamtinvestition-SUM(E1_Projektdaten!$D$54:$D$55))*SUMPRODUCT((E1_Projektdaten!$D$58:$D$60=B60)*E1_Projektdaten!$F$58:$F$60)/100+AF59-N60</f>
        <v>908200.32383242901</v>
      </c>
      <c r="AG60" s="226">
        <f>IF(ISNUMBER(IRR((AJ$36:AJ59,AI60))),IRR((AJ$36:AJ59,AI60)),"-")</f>
        <v>6.2740875258071149E-2</v>
      </c>
      <c r="AH60" s="227">
        <f t="shared" si="9"/>
        <v>2046</v>
      </c>
      <c r="AI60" s="204">
        <f t="shared" si="19"/>
        <v>1004476.1127807078</v>
      </c>
      <c r="AJ60" s="204">
        <f t="shared" si="16"/>
        <v>96275.788948278787</v>
      </c>
    </row>
  </sheetData>
  <sheetProtection algorithmName="SHA-512" hashValue="iX7YC+Omm39WWWOHfBAcva3WZWy88G8monIwfpMBZKiUag2gJ+Hy/P3NODzgZYIG50zZvW6pkVyDXDnkj3jx1A==" saltValue="gmw3zqM9Vj4jEJWOmU1UzQ==" spinCount="100000" sheet="1" objects="1" scenarios="1"/>
  <mergeCells count="19">
    <mergeCell ref="C27:E27"/>
    <mergeCell ref="C28:E28"/>
    <mergeCell ref="C29:E29"/>
    <mergeCell ref="C19:E19"/>
    <mergeCell ref="C20:E20"/>
    <mergeCell ref="C21:E21"/>
    <mergeCell ref="C22:E22"/>
    <mergeCell ref="C23:E23"/>
    <mergeCell ref="D10:I10"/>
    <mergeCell ref="D12:I12"/>
    <mergeCell ref="C16:E16"/>
    <mergeCell ref="C17:E17"/>
    <mergeCell ref="C18:E18"/>
    <mergeCell ref="B15:E15"/>
    <mergeCell ref="D7:I7"/>
    <mergeCell ref="D6:I6"/>
    <mergeCell ref="D8:I8"/>
    <mergeCell ref="D3:I3"/>
    <mergeCell ref="D4:I4"/>
  </mergeCells>
  <phoneticPr fontId="8" type="noConversion"/>
  <conditionalFormatting sqref="AE36:AE60">
    <cfRule type="expression" dxfId="2" priority="1">
      <formula>-AE36&gt;AF36</formula>
    </cfRule>
  </conditionalFormatting>
  <hyperlinks>
    <hyperlink ref="A1" location="I1_500" display="I1_500" xr:uid="{00000000-0004-0000-0400-000000000000}"/>
    <hyperlink ref="A3" location="I1_101" display="I1_101" xr:uid="{00000000-0004-0000-0400-000001000000}"/>
    <hyperlink ref="A4" location="I1_102" display="I1_102" xr:uid="{00000000-0004-0000-0400-000002000000}"/>
    <hyperlink ref="A6" location="I1_206" display="I1_206" xr:uid="{00000000-0004-0000-0400-000003000000}"/>
    <hyperlink ref="A10" location="I1_207" display="I1_207" xr:uid="{00000000-0004-0000-0400-000004000000}"/>
    <hyperlink ref="A12" location="I1_501" display="I1_501" xr:uid="{00000000-0004-0000-0400-000005000000}"/>
    <hyperlink ref="A14" location="I1_510" display="I1_510" xr:uid="{00000000-0004-0000-0400-000006000000}"/>
    <hyperlink ref="G13" location="I1_505" display="I1_505" xr:uid="{00000000-0004-0000-0400-000007000000}"/>
    <hyperlink ref="A15" location="I1_511" display="I1_511" xr:uid="{00000000-0004-0000-0400-000008000000}"/>
    <hyperlink ref="A16" location="I1_512" display="I1_512" xr:uid="{00000000-0004-0000-0400-000009000000}"/>
    <hyperlink ref="A17" location="I1_513" display="I1_513" xr:uid="{00000000-0004-0000-0400-00000A000000}"/>
    <hyperlink ref="A18" location="I1_514" display="I1_514" xr:uid="{00000000-0004-0000-0400-00000B000000}"/>
    <hyperlink ref="A19" location="I1_515" display="I1_515" xr:uid="{00000000-0004-0000-0400-00000C000000}"/>
    <hyperlink ref="A20" location="I1_516" display="I1_516" xr:uid="{00000000-0004-0000-0400-00000D000000}"/>
    <hyperlink ref="A21" location="I1_517" display="I1_517" xr:uid="{00000000-0004-0000-0400-00000E000000}"/>
    <hyperlink ref="A22" location="I1_518" display="I1_518" xr:uid="{00000000-0004-0000-0400-00000F000000}"/>
    <hyperlink ref="A23" location="I1_519" display="I1_519" xr:uid="{00000000-0004-0000-0400-000010000000}"/>
    <hyperlink ref="A24" location="I1_520" display="I1_520" xr:uid="{00000000-0004-0000-0400-000011000000}"/>
    <hyperlink ref="A26" location="I1_530" display="I1_530" xr:uid="{00000000-0004-0000-0400-000012000000}"/>
    <hyperlink ref="A27" location="I1_190" display="I1_190" xr:uid="{00000000-0004-0000-0400-000013000000}"/>
    <hyperlink ref="A28" location="I1_191" display="I1_191" xr:uid="{00000000-0004-0000-0400-000014000000}"/>
    <hyperlink ref="A29" location="I1_531" display="I1_531" xr:uid="{00000000-0004-0000-0400-000015000000}"/>
    <hyperlink ref="A31" location="I1_550" display="I1_550" xr:uid="{00000000-0004-0000-0400-000016000000}"/>
    <hyperlink ref="B34" location="I1_551" display="I1_551" xr:uid="{00000000-0004-0000-0400-000017000000}"/>
    <hyperlink ref="C34" location="I1_552" display="I1_552" xr:uid="{00000000-0004-0000-0400-000018000000}"/>
    <hyperlink ref="D34" location="I1_553" display="I1_553" xr:uid="{00000000-0004-0000-0400-000019000000}"/>
    <hyperlink ref="E34" location="I1_554" display="I1_554" xr:uid="{00000000-0004-0000-0400-00001A000000}"/>
    <hyperlink ref="F34" location="I1_555" display="I1_555" xr:uid="{00000000-0004-0000-0400-00001B000000}"/>
    <hyperlink ref="G34" location="I1_556" display="I1_556" xr:uid="{00000000-0004-0000-0400-00001C000000}"/>
    <hyperlink ref="H34" location="I1_557" display="I1_557" xr:uid="{00000000-0004-0000-0400-00001D000000}"/>
    <hyperlink ref="I34" location="I1_558" display="I1_558" xr:uid="{00000000-0004-0000-0400-00001E000000}"/>
    <hyperlink ref="J34" location="I1_559" display="I1_559" xr:uid="{00000000-0004-0000-0400-00001F000000}"/>
    <hyperlink ref="X34" location="I1_580" display="I1_580" xr:uid="{00000000-0004-0000-0400-000020000000}"/>
    <hyperlink ref="K34" location="I1_560" display="I1_560" xr:uid="{00000000-0004-0000-0400-000021000000}"/>
    <hyperlink ref="L34" location="I1_561" display="I1_561" xr:uid="{00000000-0004-0000-0400-000022000000}"/>
    <hyperlink ref="M34" location="I1_562" display="I1_562" xr:uid="{00000000-0004-0000-0400-000023000000}"/>
    <hyperlink ref="O34" location="I1_564" display="I1_564" xr:uid="{00000000-0004-0000-0400-000024000000}"/>
    <hyperlink ref="P34" location="I1_571" display="I1_571" xr:uid="{00000000-0004-0000-0400-000025000000}"/>
    <hyperlink ref="Q34" location="I1_572" display="I1_572" xr:uid="{00000000-0004-0000-0400-000026000000}"/>
    <hyperlink ref="R34" location="I1_573" display="I1_573" xr:uid="{00000000-0004-0000-0400-000027000000}"/>
    <hyperlink ref="S34" location="I1_574" display="I1_574" xr:uid="{00000000-0004-0000-0400-000028000000}"/>
    <hyperlink ref="T34" location="I1_575" display="I1_575" xr:uid="{00000000-0004-0000-0400-000029000000}"/>
    <hyperlink ref="U34" location="I1_576" display="I1_576" xr:uid="{00000000-0004-0000-0400-00002A000000}"/>
    <hyperlink ref="AA34" location="I1_583" display="I1_583" xr:uid="{00000000-0004-0000-0400-00002B000000}"/>
    <hyperlink ref="AB34" location="I1_584" display="I1_584" xr:uid="{00000000-0004-0000-0400-00002C000000}"/>
    <hyperlink ref="AE34" location="I1_587" display="I1_587" xr:uid="{00000000-0004-0000-0400-00002D000000}"/>
    <hyperlink ref="AF34" location="I1_588" display="I1_588" xr:uid="{00000000-0004-0000-0400-00002E000000}"/>
    <hyperlink ref="AG34" location="I1_589" display="I1_589" xr:uid="{00000000-0004-0000-0400-00002F000000}"/>
    <hyperlink ref="AH34" location="I1_551" display="I1_551" xr:uid="{00000000-0004-0000-0400-000030000000}"/>
    <hyperlink ref="J6" location="I1_590" display="I1_590" xr:uid="{00000000-0004-0000-0400-000031000000}"/>
    <hyperlink ref="N34" location="I1_563" display="I1_563" xr:uid="{00000000-0004-0000-0400-000032000000}"/>
    <hyperlink ref="Y34" location="I1_581" display="I1_581" xr:uid="{00000000-0004-0000-0400-000033000000}"/>
    <hyperlink ref="Z34" location="I1_582" display="I1_582" xr:uid="{00000000-0004-0000-0400-000034000000}"/>
    <hyperlink ref="V6" location="I1_591" display="I1_591" xr:uid="{00000000-0004-0000-0400-000035000000}"/>
    <hyperlink ref="AD34" location="I1_586" display="I1_586" xr:uid="{00000000-0004-0000-0400-000036000000}"/>
    <hyperlink ref="W34" location="I1_578" display="I1_578" xr:uid="{00000000-0004-0000-0400-000037000000}"/>
    <hyperlink ref="V34" location="I1_577" display="I1_577" xr:uid="{00000000-0004-0000-0400-000038000000}"/>
  </hyperlinks>
  <pageMargins left="0.78740157480314965" right="0.6692913385826772" top="1.1417322834645669" bottom="1.3385826771653544" header="0.51181102362204722" footer="0.51181102362204722"/>
  <pageSetup paperSize="8" scale="54" fitToHeight="0" orientation="landscape" r:id="rId1"/>
  <headerFooter alignWithMargins="0">
    <oddHeader>&amp;L&amp;G&amp;R&amp;G</oddHeader>
    <oddFooter>&amp;L&amp;"Arial,Standard"&amp;10&amp;F&amp;C&amp;"Arial,Standard"&amp;10&amp;P / &amp;N &amp;R&amp;"Arial,Standard"&amp;10&amp;D</oddFooter>
  </headerFooter>
  <ignoredErrors>
    <ignoredError sqref="G17:G23" unlockedFormula="1"/>
  </ignoredErrors>
  <drawing r:id="rId2"/>
  <legacy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5"/>
  <sheetViews>
    <sheetView zoomScaleNormal="100" workbookViewId="0">
      <selection activeCell="E33" sqref="E33"/>
    </sheetView>
  </sheetViews>
  <sheetFormatPr baseColWidth="10" defaultColWidth="0" defaultRowHeight="12.75" zeroHeight="1" x14ac:dyDescent="0.2"/>
  <cols>
    <col min="1" max="1" width="3.85546875" style="56" customWidth="1"/>
    <col min="2" max="2" width="15.7109375" style="1" customWidth="1"/>
    <col min="3" max="3" width="25.7109375" style="2" customWidth="1"/>
    <col min="4" max="4" width="10.7109375" style="54" customWidth="1"/>
    <col min="5" max="5" width="10.7109375" style="2" customWidth="1"/>
    <col min="6" max="6" width="12.7109375" style="55" customWidth="1"/>
    <col min="7" max="7" width="8.7109375" style="55" customWidth="1"/>
    <col min="8" max="8" width="20.7109375" style="1" customWidth="1"/>
    <col min="9" max="9" width="22.7109375" style="2" customWidth="1"/>
    <col min="10" max="10" width="10.7109375" style="54" customWidth="1"/>
    <col min="11" max="11" width="10.7109375" style="2" customWidth="1"/>
    <col min="12" max="13" width="10.7109375" style="55" customWidth="1"/>
    <col min="14" max="14" width="3.85546875" style="56" customWidth="1"/>
    <col min="15" max="15" width="11.42578125" style="55" hidden="1" customWidth="1"/>
    <col min="16" max="16384" width="10.85546875" style="55" hidden="1"/>
  </cols>
  <sheetData>
    <row r="1" spans="1:29" ht="18" x14ac:dyDescent="0.25">
      <c r="A1" s="53">
        <v>600</v>
      </c>
      <c r="B1" s="356" t="s">
        <v>239</v>
      </c>
      <c r="H1" s="356" t="s">
        <v>239</v>
      </c>
      <c r="N1" s="5"/>
    </row>
    <row r="2" spans="1:29" ht="12.95" customHeight="1" x14ac:dyDescent="0.2">
      <c r="B2" s="10"/>
      <c r="H2" s="10"/>
      <c r="I2" s="57"/>
      <c r="J2" s="58"/>
      <c r="K2" s="59"/>
      <c r="L2" s="60"/>
      <c r="N2" s="61"/>
    </row>
    <row r="3" spans="1:29" ht="12.95" customHeight="1" x14ac:dyDescent="0.2">
      <c r="A3" s="53">
        <v>101</v>
      </c>
      <c r="B3" s="56"/>
      <c r="C3" s="62" t="s">
        <v>4</v>
      </c>
      <c r="H3" s="10" t="s">
        <v>246</v>
      </c>
      <c r="I3" s="63"/>
      <c r="J3" s="58">
        <f>D32</f>
        <v>2024</v>
      </c>
      <c r="K3" s="58">
        <f>E32</f>
        <v>2032</v>
      </c>
      <c r="L3" s="60" t="str">
        <f>"bis "&amp;B1_Berechnungen!B60</f>
        <v>bis 2046</v>
      </c>
      <c r="N3" s="53">
        <v>650</v>
      </c>
    </row>
    <row r="4" spans="1:29" ht="12.95" customHeight="1" x14ac:dyDescent="0.2">
      <c r="A4" s="53">
        <v>105</v>
      </c>
      <c r="B4" s="56" t="s">
        <v>75</v>
      </c>
      <c r="G4" s="1"/>
      <c r="H4" s="10"/>
      <c r="I4" s="63" t="s">
        <v>249</v>
      </c>
      <c r="J4" s="64">
        <f>VLOOKUP(A1_Ergebnisse!J$3,B1_Berechnungen!$B$36:$AH$60,3)/100</f>
        <v>6.684491978609626E-2</v>
      </c>
      <c r="K4" s="64">
        <f>VLOOKUP(A1_Ergebnisse!K$3,B1_Berechnungen!$B$36:$AH$60,3)/100</f>
        <v>0.92274469442791995</v>
      </c>
      <c r="L4" s="60"/>
      <c r="N4" s="53">
        <v>553</v>
      </c>
      <c r="O4" s="1"/>
      <c r="P4" s="1"/>
      <c r="Q4" s="1"/>
      <c r="R4" s="1"/>
      <c r="S4" s="1"/>
      <c r="T4" s="1"/>
      <c r="U4" s="1"/>
      <c r="V4" s="2"/>
    </row>
    <row r="5" spans="1:29" s="1" customFormat="1" ht="12.95" customHeight="1" x14ac:dyDescent="0.2">
      <c r="A5" s="56"/>
      <c r="B5" s="10"/>
      <c r="C5" s="2"/>
      <c r="D5" s="54"/>
      <c r="E5" s="2"/>
      <c r="I5" s="65" t="s">
        <v>247</v>
      </c>
      <c r="J5" s="66">
        <f>(VLOOKUP(A1_Ergebnisse!J$3,B1_Berechnungen!$B$36:$AH$60,2))*((100-Eing_Netzverluste))/100</f>
        <v>125</v>
      </c>
      <c r="K5" s="66">
        <f>(VLOOKUP(A1_Ergebnisse!K$3,B1_Berechnungen!$B$36:$AH$60,2))*((100-Eing_Netzverluste))/100</f>
        <v>1725.5325785802104</v>
      </c>
      <c r="L5" s="67">
        <f>SUM(B1_Berechnungen!C36:C60)*((100-Eing_Netzverluste))/100</f>
        <v>35800.273458636424</v>
      </c>
      <c r="M5" s="55" t="s">
        <v>14</v>
      </c>
      <c r="N5" s="53">
        <v>651</v>
      </c>
      <c r="O5" s="4"/>
      <c r="V5" s="2"/>
      <c r="W5" s="2"/>
      <c r="X5" s="2"/>
      <c r="Y5" s="2"/>
      <c r="Z5" s="2"/>
      <c r="AA5" s="2"/>
      <c r="AB5" s="2"/>
      <c r="AC5" s="2"/>
    </row>
    <row r="6" spans="1:29" s="1" customFormat="1" ht="12.95" customHeight="1" x14ac:dyDescent="0.2">
      <c r="A6" s="53">
        <v>106</v>
      </c>
      <c r="B6" s="10" t="s">
        <v>47</v>
      </c>
      <c r="C6" s="68" t="str">
        <f>IF(E1_Projektdaten!C7=0,"",E1_Projektdaten!C7)</f>
        <v>QMH Beispielprojekt 2</v>
      </c>
      <c r="D6" s="68"/>
      <c r="E6" s="68"/>
      <c r="F6" s="3"/>
      <c r="I6" s="65" t="s">
        <v>395</v>
      </c>
      <c r="J6" s="66">
        <f>(VLOOKUP(A1_Ergebnisse!J$3,B1_Berechnungen!$B$36:$AH$60,14))/J5</f>
        <v>1081.3259677777778</v>
      </c>
      <c r="K6" s="66">
        <f>(VLOOKUP(A1_Ergebnisse!K$3,B1_Berechnungen!$B$36:$AH$60,14))/K5</f>
        <v>149.33435336819849</v>
      </c>
      <c r="L6" s="69">
        <f>SUM(B1_Berechnungen!O36:O60)/L5</f>
        <v>161.32006395814693</v>
      </c>
      <c r="M6" s="55" t="s">
        <v>41</v>
      </c>
      <c r="N6" s="53">
        <v>652</v>
      </c>
      <c r="O6" s="4"/>
      <c r="S6" s="5"/>
      <c r="V6" s="6"/>
      <c r="W6" s="2"/>
      <c r="X6" s="2"/>
      <c r="Y6" s="2"/>
      <c r="Z6" s="2"/>
      <c r="AA6" s="2"/>
      <c r="AB6" s="2"/>
      <c r="AC6" s="2"/>
    </row>
    <row r="7" spans="1:29" s="1" customFormat="1" ht="12.95" customHeight="1" x14ac:dyDescent="0.2">
      <c r="A7" s="56"/>
      <c r="B7" s="10"/>
      <c r="C7" s="68" t="str">
        <f>IF(E1_Projektdaten!C8=0,"",E1_Projektdaten!C8)</f>
        <v>Adresszeile</v>
      </c>
      <c r="D7" s="68"/>
      <c r="E7" s="68"/>
      <c r="F7" s="3"/>
      <c r="J7" s="56"/>
      <c r="L7" s="55"/>
      <c r="M7" s="55"/>
      <c r="N7" s="56"/>
      <c r="O7" s="4"/>
      <c r="S7" s="7"/>
      <c r="V7" s="6"/>
      <c r="W7" s="2"/>
      <c r="X7" s="2"/>
      <c r="Y7" s="2"/>
      <c r="Z7" s="2"/>
      <c r="AA7" s="2"/>
      <c r="AB7" s="2"/>
      <c r="AC7" s="2"/>
    </row>
    <row r="8" spans="1:29" s="1" customFormat="1" ht="12.95" customHeight="1" x14ac:dyDescent="0.2">
      <c r="A8" s="56"/>
      <c r="B8" s="10"/>
      <c r="C8" s="68" t="str">
        <f>IF(E1_Projektdaten!C9=0,"",E1_Projektdaten!C9)</f>
        <v>PLZ  Ort</v>
      </c>
      <c r="D8" s="68"/>
      <c r="E8" s="68"/>
      <c r="F8" s="3"/>
      <c r="H8" s="10" t="s">
        <v>252</v>
      </c>
      <c r="J8" s="70"/>
      <c r="K8" s="71"/>
      <c r="L8" s="55"/>
      <c r="M8" s="55"/>
      <c r="N8" s="53">
        <v>653</v>
      </c>
      <c r="O8" s="4"/>
      <c r="S8" s="8"/>
      <c r="V8" s="6"/>
      <c r="W8" s="2"/>
      <c r="X8" s="2"/>
      <c r="Y8" s="2"/>
      <c r="Z8" s="2"/>
      <c r="AA8" s="2"/>
      <c r="AB8" s="2"/>
      <c r="AC8" s="2"/>
    </row>
    <row r="9" spans="1:29" s="1" customFormat="1" ht="12.95" customHeight="1" x14ac:dyDescent="0.2">
      <c r="A9" s="56"/>
      <c r="B9" s="10"/>
      <c r="C9" s="68"/>
      <c r="D9" s="68"/>
      <c r="E9" s="68"/>
      <c r="F9" s="3"/>
      <c r="I9" s="65"/>
      <c r="J9" s="72"/>
      <c r="K9" s="72"/>
      <c r="L9" s="73"/>
      <c r="M9" s="73"/>
      <c r="N9" s="56"/>
      <c r="O9" s="4"/>
      <c r="S9" s="9"/>
      <c r="V9" s="6"/>
      <c r="W9" s="2"/>
      <c r="X9" s="2"/>
      <c r="Y9" s="2"/>
      <c r="Z9" s="2"/>
      <c r="AA9" s="2"/>
      <c r="AB9" s="2"/>
      <c r="AC9" s="2"/>
    </row>
    <row r="10" spans="1:29" s="1" customFormat="1" ht="12.95" customHeight="1" x14ac:dyDescent="0.2">
      <c r="A10" s="53">
        <v>107</v>
      </c>
      <c r="B10" s="10" t="s">
        <v>48</v>
      </c>
      <c r="C10" s="68" t="str">
        <f>IF(E1_Projektdaten!C11=0,"",E1_Projektdaten!C11)</f>
        <v>Datum, ErstellerIn</v>
      </c>
      <c r="D10" s="68"/>
      <c r="E10" s="68"/>
      <c r="F10" s="3"/>
      <c r="J10" s="56"/>
      <c r="L10" s="55"/>
      <c r="M10" s="55"/>
      <c r="N10" s="56"/>
      <c r="V10" s="2"/>
      <c r="W10" s="2"/>
      <c r="X10" s="2"/>
      <c r="Y10" s="2"/>
      <c r="Z10" s="2"/>
      <c r="AA10" s="2"/>
      <c r="AB10" s="2"/>
      <c r="AC10" s="2"/>
    </row>
    <row r="11" spans="1:29" s="1" customFormat="1" ht="12.95" customHeight="1" x14ac:dyDescent="0.2">
      <c r="A11" s="56"/>
      <c r="C11" s="56"/>
      <c r="D11" s="56"/>
      <c r="G11" s="10"/>
      <c r="J11" s="56"/>
      <c r="L11" s="55"/>
      <c r="M11" s="55"/>
      <c r="N11" s="56"/>
      <c r="O11" s="10"/>
      <c r="P11" s="10"/>
      <c r="Q11" s="11"/>
      <c r="R11" s="10"/>
      <c r="S11" s="10"/>
      <c r="T11" s="11"/>
      <c r="U11" s="10"/>
      <c r="V11" s="2"/>
      <c r="W11" s="2"/>
      <c r="X11" s="2"/>
      <c r="Y11" s="2"/>
      <c r="Z11" s="2"/>
      <c r="AA11" s="2"/>
      <c r="AB11" s="2"/>
      <c r="AC11" s="2"/>
    </row>
    <row r="12" spans="1:29" s="10" customFormat="1" ht="12.95" customHeight="1" x14ac:dyDescent="0.2">
      <c r="A12" s="74">
        <v>501</v>
      </c>
      <c r="B12" s="75" t="s">
        <v>6</v>
      </c>
      <c r="C12" s="382" t="str">
        <f>IF(E1_Projektdaten!C13&lt;&gt;"","Es existieren Warnungen im Register 'E1_Projektdaten'!","")</f>
        <v>Es existieren Warnungen im Register 'E1_Projektdaten'!</v>
      </c>
      <c r="D12" s="382"/>
      <c r="E12" s="382"/>
      <c r="F12" s="382"/>
      <c r="G12" s="382"/>
      <c r="H12" s="1"/>
      <c r="I12" s="1"/>
      <c r="J12" s="56"/>
      <c r="K12" s="1"/>
      <c r="L12" s="55"/>
      <c r="M12" s="55"/>
      <c r="N12" s="56"/>
      <c r="O12" s="55"/>
      <c r="P12" s="55"/>
      <c r="Q12" s="55"/>
      <c r="R12" s="55"/>
      <c r="S12" s="55"/>
      <c r="T12" s="55"/>
      <c r="U12" s="55"/>
      <c r="V12" s="55"/>
      <c r="W12" s="2"/>
      <c r="X12" s="12"/>
      <c r="Y12" s="12"/>
      <c r="Z12" s="12"/>
      <c r="AA12" s="12"/>
      <c r="AB12" s="12"/>
      <c r="AC12" s="12"/>
    </row>
    <row r="13" spans="1:29" ht="6" customHeight="1" x14ac:dyDescent="0.2">
      <c r="A13" s="76"/>
      <c r="B13" s="10"/>
      <c r="C13" s="77"/>
      <c r="D13" s="78"/>
      <c r="E13" s="79"/>
      <c r="I13" s="1"/>
      <c r="J13" s="56"/>
      <c r="K13" s="1"/>
    </row>
    <row r="14" spans="1:29" ht="12.95" customHeight="1" x14ac:dyDescent="0.2">
      <c r="A14" s="53">
        <v>110</v>
      </c>
      <c r="B14" s="10" t="s">
        <v>148</v>
      </c>
      <c r="C14" s="79"/>
      <c r="D14" s="80"/>
      <c r="E14" s="79"/>
      <c r="I14" s="1"/>
      <c r="J14" s="56"/>
      <c r="K14" s="1"/>
    </row>
    <row r="15" spans="1:29" ht="12.95" customHeight="1" x14ac:dyDescent="0.2">
      <c r="A15" s="53">
        <v>111</v>
      </c>
      <c r="B15" s="56"/>
      <c r="C15" s="81" t="s">
        <v>105</v>
      </c>
      <c r="D15" s="66">
        <f>Eing_verkaufteWM</f>
        <v>1870</v>
      </c>
      <c r="E15" s="80" t="s">
        <v>14</v>
      </c>
      <c r="I15" s="1"/>
      <c r="J15" s="56"/>
      <c r="K15" s="1"/>
    </row>
    <row r="16" spans="1:29" ht="12.95" customHeight="1" x14ac:dyDescent="0.2">
      <c r="A16" s="53">
        <v>112</v>
      </c>
      <c r="C16" s="82" t="s">
        <v>106</v>
      </c>
      <c r="D16" s="66">
        <f>Eing_Netzverluste</f>
        <v>10</v>
      </c>
      <c r="E16" s="1" t="s">
        <v>13</v>
      </c>
      <c r="I16" s="1"/>
      <c r="J16" s="56"/>
      <c r="K16" s="1"/>
    </row>
    <row r="17" spans="1:16" ht="12.95" customHeight="1" x14ac:dyDescent="0.2">
      <c r="C17" s="1"/>
      <c r="D17" s="56"/>
      <c r="E17" s="1"/>
      <c r="I17" s="1"/>
      <c r="J17" s="56"/>
      <c r="K17" s="1"/>
    </row>
    <row r="18" spans="1:16" ht="12.95" customHeight="1" x14ac:dyDescent="0.2">
      <c r="A18" s="53">
        <v>114</v>
      </c>
      <c r="C18" s="82" t="s">
        <v>27</v>
      </c>
      <c r="D18" s="72">
        <f>Eing_Beginnjahr</f>
        <v>2022</v>
      </c>
      <c r="E18" s="1"/>
      <c r="I18" s="1"/>
      <c r="J18" s="56"/>
      <c r="K18" s="1"/>
    </row>
    <row r="19" spans="1:16" ht="12.95" customHeight="1" x14ac:dyDescent="0.2">
      <c r="A19" s="53">
        <v>115</v>
      </c>
      <c r="C19" s="82" t="s">
        <v>119</v>
      </c>
      <c r="D19" s="83">
        <f>E1_Projektdaten!D22</f>
        <v>2024</v>
      </c>
      <c r="E19" s="1"/>
      <c r="I19" s="1"/>
      <c r="J19" s="56"/>
      <c r="K19" s="1"/>
    </row>
    <row r="20" spans="1:16" ht="6" customHeight="1" x14ac:dyDescent="0.2">
      <c r="A20" s="53"/>
      <c r="C20" s="82"/>
      <c r="D20" s="83"/>
      <c r="E20" s="1"/>
      <c r="F20" s="84"/>
      <c r="I20" s="1"/>
      <c r="J20" s="56"/>
      <c r="K20" s="1"/>
    </row>
    <row r="21" spans="1:16" ht="12.95" customHeight="1" x14ac:dyDescent="0.2">
      <c r="A21" s="53">
        <v>610</v>
      </c>
      <c r="B21" s="10" t="s">
        <v>20</v>
      </c>
      <c r="C21" s="65"/>
      <c r="D21" s="56"/>
      <c r="E21" s="1"/>
      <c r="F21" s="85"/>
      <c r="G21" s="60"/>
      <c r="I21" s="1"/>
      <c r="J21" s="56"/>
      <c r="K21" s="1"/>
    </row>
    <row r="22" spans="1:16" ht="12.95" customHeight="1" x14ac:dyDescent="0.2">
      <c r="A22" s="53">
        <v>151</v>
      </c>
      <c r="C22" s="86" t="s">
        <v>78</v>
      </c>
      <c r="D22" s="66">
        <f>Eing_Kosten_Bau</f>
        <v>500000</v>
      </c>
      <c r="E22" s="1" t="s">
        <v>42</v>
      </c>
      <c r="F22" s="67"/>
      <c r="I22" s="1"/>
      <c r="J22" s="58">
        <f>D32</f>
        <v>2024</v>
      </c>
      <c r="K22" s="58">
        <f>E32</f>
        <v>2032</v>
      </c>
      <c r="L22" s="87">
        <f>B1_Berechnungen!B60</f>
        <v>2046</v>
      </c>
      <c r="N22" s="88"/>
    </row>
    <row r="23" spans="1:16" ht="12.95" customHeight="1" x14ac:dyDescent="0.2">
      <c r="A23" s="53">
        <v>612</v>
      </c>
      <c r="C23" s="86" t="s">
        <v>240</v>
      </c>
      <c r="D23" s="66">
        <f>SUM(E1_Projektdaten!D49:D51)</f>
        <v>400000</v>
      </c>
      <c r="E23" s="1" t="s">
        <v>42</v>
      </c>
      <c r="F23" s="67"/>
      <c r="H23" s="10" t="s">
        <v>113</v>
      </c>
      <c r="I23" s="65" t="s">
        <v>218</v>
      </c>
      <c r="J23" s="66">
        <f>(VLOOKUP(A1_Ergebnisse!J$22,B1_Berechnungen!$B$36:$AH$60,30))</f>
        <v>-866666.66666666663</v>
      </c>
      <c r="K23" s="66">
        <f>(VLOOKUP(A1_Ergebnisse!K$22,B1_Berechnungen!$B$36:$AH$60,30))</f>
        <v>-405333.33333333326</v>
      </c>
      <c r="L23" s="66">
        <f>(VLOOKUP(A1_Ergebnisse!L$22,B1_Berechnungen!$B$36:$AH$60,30))</f>
        <v>0</v>
      </c>
      <c r="M23" s="66"/>
      <c r="N23" s="53">
        <v>587</v>
      </c>
    </row>
    <row r="24" spans="1:16" ht="12.95" customHeight="1" x14ac:dyDescent="0.2">
      <c r="A24" s="53">
        <v>613</v>
      </c>
      <c r="C24" s="86" t="s">
        <v>241</v>
      </c>
      <c r="D24" s="66">
        <f>SUM(E1_Projektdaten!D52:D54)</f>
        <v>720000</v>
      </c>
      <c r="E24" s="1" t="s">
        <v>42</v>
      </c>
      <c r="F24" s="67"/>
      <c r="H24" s="10"/>
      <c r="I24" s="65" t="s">
        <v>248</v>
      </c>
      <c r="J24" s="66">
        <f>(VLOOKUP(A1_Ergebnisse!J$22,B1_Berechnungen!$B$36:$AH$60,31))</f>
        <v>1376166.6666666667</v>
      </c>
      <c r="K24" s="66">
        <f>(VLOOKUP(A1_Ergebnisse!K$22,B1_Berechnungen!$B$36:$AH$60,31))</f>
        <v>1025500.0000000006</v>
      </c>
      <c r="L24" s="66">
        <f>(VLOOKUP(A1_Ergebnisse!L$22,B1_Berechnungen!$B$36:$AH$60,31))</f>
        <v>908200.32383242901</v>
      </c>
      <c r="M24" s="66"/>
      <c r="N24" s="53">
        <v>588</v>
      </c>
    </row>
    <row r="25" spans="1:16" ht="12.95" customHeight="1" x14ac:dyDescent="0.2">
      <c r="A25" s="53">
        <v>157</v>
      </c>
      <c r="C25" s="86" t="s">
        <v>166</v>
      </c>
      <c r="D25" s="66">
        <f>Eing_Kosten_Planung_QM</f>
        <v>15000</v>
      </c>
      <c r="E25" s="1" t="s">
        <v>42</v>
      </c>
      <c r="F25" s="67"/>
      <c r="H25" s="10"/>
      <c r="I25" s="65" t="s">
        <v>392</v>
      </c>
      <c r="J25" s="89">
        <f>(VLOOKUP(A1_Ergebnisse!J$22,B1_Berechnungen!$B$36:$AH$60,32))</f>
        <v>-0.14419116148024913</v>
      </c>
      <c r="K25" s="89">
        <f>(VLOOKUP(A1_Ergebnisse!K$22,B1_Berechnungen!$B$36:$AH$60,32))</f>
        <v>6.2344265962196443E-2</v>
      </c>
      <c r="L25" s="89">
        <f>(VLOOKUP(A1_Ergebnisse!L$22,B1_Berechnungen!$B$36:$AH$60,32))</f>
        <v>6.2740875258071149E-2</v>
      </c>
      <c r="M25" s="66"/>
      <c r="N25" s="53">
        <v>589</v>
      </c>
    </row>
    <row r="26" spans="1:16" ht="12.95" customHeight="1" x14ac:dyDescent="0.2">
      <c r="A26" s="53">
        <v>158</v>
      </c>
      <c r="B26" s="10"/>
      <c r="C26" s="57" t="s">
        <v>26</v>
      </c>
      <c r="D26" s="90">
        <f>Gesamtinvestition</f>
        <v>1635000</v>
      </c>
      <c r="E26" s="10" t="s">
        <v>42</v>
      </c>
      <c r="F26" s="91"/>
      <c r="G26" s="92"/>
      <c r="I26" s="1"/>
      <c r="J26" s="56"/>
      <c r="K26" s="1"/>
      <c r="P26" s="93"/>
    </row>
    <row r="27" spans="1:16" ht="12.95" customHeight="1" x14ac:dyDescent="0.2">
      <c r="A27" s="53">
        <v>615</v>
      </c>
      <c r="B27" s="10" t="s">
        <v>245</v>
      </c>
      <c r="C27" s="63"/>
      <c r="D27" s="56"/>
      <c r="E27" s="1"/>
      <c r="N27" s="53">
        <v>591</v>
      </c>
    </row>
    <row r="28" spans="1:16" ht="12.95" customHeight="1" x14ac:dyDescent="0.2">
      <c r="A28" s="53">
        <v>161</v>
      </c>
      <c r="C28" s="86" t="s">
        <v>381</v>
      </c>
      <c r="D28" s="66">
        <f>SUM(Eing_Kredit_1,Eing_Kredit_2)</f>
        <v>1120000</v>
      </c>
      <c r="E28" s="56" t="s">
        <v>42</v>
      </c>
    </row>
    <row r="29" spans="1:16" ht="12.95" customHeight="1" x14ac:dyDescent="0.2">
      <c r="A29" s="53">
        <v>191</v>
      </c>
      <c r="C29" s="65" t="s">
        <v>303</v>
      </c>
      <c r="D29" s="66">
        <f>SUM(Einmaliger_Förderbeitrag_1,Einmaliger_Förderbeitrag_2,(jährlicher_Förderbeitrag*Eing_Förderung_wiederholend_Laufzeit))</f>
        <v>359000</v>
      </c>
      <c r="E29" s="1" t="s">
        <v>42</v>
      </c>
    </row>
    <row r="30" spans="1:16" ht="12.95" customHeight="1" x14ac:dyDescent="0.2">
      <c r="A30" s="53">
        <v>531</v>
      </c>
      <c r="C30" s="65" t="s">
        <v>320</v>
      </c>
      <c r="D30" s="66">
        <f>maxEigenkapital</f>
        <v>684972.44168055546</v>
      </c>
      <c r="E30" s="1" t="s">
        <v>42</v>
      </c>
      <c r="F30" s="94" t="s">
        <v>213</v>
      </c>
      <c r="G30" s="95">
        <f>B1_Berechnungen!I29</f>
        <v>2024</v>
      </c>
    </row>
    <row r="31" spans="1:16" ht="6" customHeight="1" x14ac:dyDescent="0.2">
      <c r="A31" s="76"/>
      <c r="C31" s="86"/>
      <c r="D31" s="66"/>
      <c r="E31" s="56"/>
    </row>
    <row r="32" spans="1:16" ht="12.95" customHeight="1" x14ac:dyDescent="0.2">
      <c r="A32" s="53">
        <v>620</v>
      </c>
      <c r="B32" s="5" t="s">
        <v>390</v>
      </c>
      <c r="C32" s="57"/>
      <c r="D32" s="58">
        <f>D19</f>
        <v>2024</v>
      </c>
      <c r="E32" s="96">
        <v>2032</v>
      </c>
      <c r="F32" s="60" t="str">
        <f>"bis "&amp;B1_Berechnungen!B60</f>
        <v>bis 2046</v>
      </c>
    </row>
    <row r="33" spans="1:15" ht="12.95" customHeight="1" x14ac:dyDescent="0.2">
      <c r="A33" s="53"/>
      <c r="B33" s="10"/>
      <c r="C33" s="57"/>
      <c r="D33" s="97" t="s">
        <v>132</v>
      </c>
      <c r="E33" s="98" t="s">
        <v>132</v>
      </c>
      <c r="F33" s="94" t="s">
        <v>136</v>
      </c>
      <c r="H33" s="5"/>
      <c r="I33" s="56"/>
      <c r="J33" s="70"/>
      <c r="K33" s="71"/>
      <c r="L33" s="61"/>
      <c r="M33" s="61"/>
      <c r="N33" s="53"/>
    </row>
    <row r="34" spans="1:15" ht="12.95" customHeight="1" x14ac:dyDescent="0.2">
      <c r="A34" s="53">
        <v>621</v>
      </c>
      <c r="B34" s="1" t="s">
        <v>111</v>
      </c>
      <c r="C34" s="81" t="s">
        <v>139</v>
      </c>
      <c r="D34" s="66">
        <f>SUM(VLOOKUP(A1_Ergebnisse!D32,B1_Berechnungen!$B$36:$AH$60,4),VLOOKUP(A1_Ergebnisse!D32,B1_Berechnungen!$B$36:$AH$60,5),VLOOKUP(A1_Ergebnisse!D32,B1_Berechnungen!$B$36:$AH$60,6))</f>
        <v>9173.8159722222226</v>
      </c>
      <c r="E34" s="66">
        <f>SUM(VLOOKUP(A1_Ergebnisse!E32,B1_Berechnungen!$B$36:$AH$60,4),VLOOKUP(A1_Ergebnisse!E32,B1_Berechnungen!$B$36:$AH$60,5),VLOOKUP(A1_Ergebnisse!E32,B1_Berechnungen!$B$36:$AH$60,6))</f>
        <v>137130.53313448475</v>
      </c>
      <c r="F34" s="8">
        <f>SUM(B1_Berechnungen!E36:G60)</f>
        <v>2947204.6023600246</v>
      </c>
      <c r="G34" s="1"/>
      <c r="H34" s="5"/>
      <c r="I34" s="56"/>
      <c r="J34" s="70"/>
      <c r="K34" s="71"/>
      <c r="L34" s="61"/>
      <c r="M34" s="61"/>
      <c r="N34" s="53"/>
    </row>
    <row r="35" spans="1:15" ht="12.95" customHeight="1" x14ac:dyDescent="0.2">
      <c r="A35" s="53">
        <v>622</v>
      </c>
      <c r="C35" s="65" t="s">
        <v>382</v>
      </c>
      <c r="D35" s="66">
        <f>SUM(VLOOKUP(A1_Ergebnisse!D$32,B1_Berechnungen!$B$36:$AH$60,7),VLOOKUP(A1_Ergebnisse!D$32,B1_Berechnungen!$B$36:$AH$60,8),VLOOKUP(A1_Ergebnisse!D$32,B1_Berechnungen!$B$36:$AH$60,9),VLOOKUP(A1_Ergebnisse!D$32,B1_Berechnungen!$B$36:$AH$60,10))</f>
        <v>60491.93</v>
      </c>
      <c r="E35" s="66">
        <f>SUM(VLOOKUP(A1_Ergebnisse!E$32,B1_Berechnungen!$B$36:$AH$60,7),VLOOKUP(A1_Ergebnisse!E$32,B1_Berechnungen!$B$36:$AH$60,8),VLOOKUP(A1_Ergebnisse!E$32,B1_Berechnungen!$B$36:$AH$60,9),VLOOKUP(A1_Ergebnisse!E$32,B1_Berechnungen!$B$36:$AH$60,10))</f>
        <v>65504.092036884438</v>
      </c>
      <c r="F35" s="8">
        <f>SUM(B1_Berechnungen!H36:J60,B1_Berechnungen!K36:K60)</f>
        <v>1590602.7304521955</v>
      </c>
      <c r="G35" s="1"/>
      <c r="H35" s="5"/>
      <c r="I35" s="56"/>
      <c r="J35" s="70"/>
      <c r="K35" s="71"/>
      <c r="L35" s="61"/>
      <c r="M35" s="61"/>
      <c r="N35" s="53"/>
    </row>
    <row r="36" spans="1:15" ht="12.95" customHeight="1" x14ac:dyDescent="0.2">
      <c r="A36" s="53">
        <v>623</v>
      </c>
      <c r="C36" s="65" t="s">
        <v>383</v>
      </c>
      <c r="D36" s="66">
        <f>SUM(VLOOKUP(A1_Ergebnisse!D$32,B1_Berechnungen!$B$36:$AH$60,12),VLOOKUP(A1_Ergebnisse!D$32,B1_Berechnungen!$B$36:$AH$60,13))</f>
        <v>65500.000000000007</v>
      </c>
      <c r="E36" s="66">
        <f>SUM(VLOOKUP(A1_Ergebnisse!E$32,B1_Berechnungen!$B$36:$AH$60,12),VLOOKUP(A1_Ergebnisse!E$32,B1_Berechnungen!$B$36:$AH$60,13))</f>
        <v>55046.666666666672</v>
      </c>
      <c r="F36" s="8">
        <f>SUM(B1_Berechnungen!M36:N60)</f>
        <v>1237495.0712541584</v>
      </c>
      <c r="G36" s="1"/>
      <c r="H36" s="5"/>
      <c r="I36" s="56"/>
      <c r="J36" s="70"/>
      <c r="K36" s="71"/>
      <c r="L36" s="61"/>
      <c r="M36" s="61"/>
      <c r="N36" s="53"/>
    </row>
    <row r="37" spans="1:15" ht="12.95" customHeight="1" x14ac:dyDescent="0.2">
      <c r="A37" s="53">
        <v>624</v>
      </c>
      <c r="B37" s="10"/>
      <c r="C37" s="57" t="s">
        <v>242</v>
      </c>
      <c r="D37" s="90">
        <f>SUM(D34:D36)</f>
        <v>135165.74597222224</v>
      </c>
      <c r="E37" s="90">
        <f t="shared" ref="E37:F37" si="0">SUM(E34:E36)</f>
        <v>257681.29183803586</v>
      </c>
      <c r="F37" s="90">
        <f t="shared" si="0"/>
        <v>5775302.4040663783</v>
      </c>
      <c r="G37" s="90"/>
      <c r="H37" s="56"/>
      <c r="I37" s="99"/>
      <c r="J37" s="72"/>
      <c r="K37" s="72"/>
      <c r="L37" s="61"/>
      <c r="M37" s="61"/>
      <c r="N37" s="53"/>
    </row>
    <row r="38" spans="1:15" ht="12.95" customHeight="1" x14ac:dyDescent="0.2">
      <c r="A38" s="53">
        <v>625</v>
      </c>
      <c r="B38" s="1" t="s">
        <v>112</v>
      </c>
      <c r="C38" s="82" t="s">
        <v>362</v>
      </c>
      <c r="D38" s="66">
        <f>SUM(VLOOKUP(A1_Ergebnisse!D$32,B1_Berechnungen!$B$36:$AH$60,15),VLOOKUP(A1_Ergebnisse!D$32,B1_Berechnungen!$B$36:$AH$60,16))</f>
        <v>99000.637625000003</v>
      </c>
      <c r="E38" s="66">
        <f>SUM(VLOOKUP(A1_Ergebnisse!E$32,B1_Berechnungen!$B$36:$AH$60,15),VLOOKUP(A1_Ergebnisse!E$32,B1_Berechnungen!$B$36:$AH$60,16))</f>
        <v>292912.03927331022</v>
      </c>
      <c r="F38" s="8">
        <f>SUM(B1_Berechnungen!P36:Q60)</f>
        <v>7034869.809194847</v>
      </c>
      <c r="G38" s="1"/>
    </row>
    <row r="39" spans="1:15" ht="12.95" customHeight="1" x14ac:dyDescent="0.2">
      <c r="A39" s="53">
        <v>626</v>
      </c>
      <c r="C39" s="65" t="s">
        <v>244</v>
      </c>
      <c r="D39" s="66">
        <f>SUM(VLOOKUP(A1_Ergebnisse!D$32,B1_Berechnungen!$B$36:$AH$60,17),VLOOKUP(A1_Ergebnisse!D$32,B1_Berechnungen!$B$36:$AH$60,18))</f>
        <v>159000</v>
      </c>
      <c r="E39" s="66">
        <f>SUM(VLOOKUP(A1_Ergebnisse!E$32,B1_Berechnungen!$B$36:$AH$60,17),VLOOKUP(A1_Ergebnisse!E$32,B1_Berechnungen!$B$36:$AH$60,18))</f>
        <v>10000</v>
      </c>
      <c r="F39" s="8">
        <f>SUM(B1_Berechnungen!R36:S60)</f>
        <v>359000</v>
      </c>
      <c r="G39" s="1"/>
      <c r="H39" s="10"/>
      <c r="I39" s="1"/>
      <c r="J39" s="70"/>
      <c r="K39" s="100"/>
      <c r="N39" s="53"/>
      <c r="O39" s="61"/>
    </row>
    <row r="40" spans="1:15" ht="12.95" customHeight="1" x14ac:dyDescent="0.2">
      <c r="A40" s="53">
        <v>627</v>
      </c>
      <c r="B40" s="10"/>
      <c r="C40" s="101" t="s">
        <v>243</v>
      </c>
      <c r="D40" s="102">
        <f>SUM(D38:D39)</f>
        <v>258000.637625</v>
      </c>
      <c r="E40" s="102">
        <f>SUM(E38:E39)</f>
        <v>302912.03927331022</v>
      </c>
      <c r="F40" s="90">
        <f>SUM(F38:F39)</f>
        <v>7393869.809194847</v>
      </c>
      <c r="G40" s="90"/>
      <c r="I40" s="65"/>
      <c r="J40" s="72"/>
      <c r="K40" s="72"/>
      <c r="N40" s="53"/>
      <c r="O40" s="61"/>
    </row>
    <row r="41" spans="1:15" ht="6" customHeight="1" x14ac:dyDescent="0.2">
      <c r="A41" s="53"/>
      <c r="B41" s="10"/>
      <c r="C41" s="101"/>
      <c r="D41" s="102"/>
      <c r="E41" s="102"/>
      <c r="F41" s="90"/>
      <c r="G41" s="90"/>
      <c r="I41" s="65"/>
      <c r="J41" s="72"/>
      <c r="K41" s="72"/>
      <c r="N41" s="53"/>
    </row>
    <row r="42" spans="1:15" ht="12.95" customHeight="1" x14ac:dyDescent="0.2">
      <c r="A42" s="53">
        <v>590</v>
      </c>
      <c r="B42" s="10"/>
      <c r="C42" s="65"/>
      <c r="D42" s="66"/>
      <c r="E42" s="66"/>
      <c r="F42" s="66"/>
      <c r="G42" s="66"/>
      <c r="H42" s="10" t="s">
        <v>254</v>
      </c>
      <c r="N42" s="53">
        <v>690</v>
      </c>
    </row>
    <row r="43" spans="1:15" ht="12.95" customHeight="1" x14ac:dyDescent="0.2">
      <c r="B43" s="10"/>
      <c r="C43" s="65"/>
      <c r="D43" s="66"/>
      <c r="E43" s="66"/>
      <c r="F43" s="66"/>
      <c r="G43" s="66"/>
      <c r="H43" s="383"/>
      <c r="I43" s="383"/>
      <c r="J43" s="383"/>
      <c r="K43" s="383"/>
      <c r="L43" s="383"/>
      <c r="M43" s="383"/>
    </row>
    <row r="44" spans="1:15" ht="12.95" customHeight="1" x14ac:dyDescent="0.2">
      <c r="B44" s="10"/>
      <c r="C44" s="65"/>
      <c r="D44" s="89"/>
      <c r="E44" s="89"/>
      <c r="F44" s="89"/>
      <c r="G44" s="66"/>
      <c r="H44" s="383"/>
      <c r="I44" s="383"/>
      <c r="J44" s="383"/>
      <c r="K44" s="383"/>
      <c r="L44" s="383"/>
      <c r="M44" s="383"/>
    </row>
    <row r="45" spans="1:15" ht="12.95" customHeight="1" x14ac:dyDescent="0.2">
      <c r="B45" s="10"/>
      <c r="C45" s="101"/>
      <c r="D45" s="102"/>
      <c r="E45" s="102"/>
      <c r="F45" s="90"/>
      <c r="G45" s="90"/>
      <c r="H45" s="383"/>
      <c r="I45" s="383"/>
      <c r="J45" s="383"/>
      <c r="K45" s="383"/>
      <c r="L45" s="383"/>
      <c r="M45" s="383"/>
    </row>
    <row r="46" spans="1:15" ht="12.95" customHeight="1" x14ac:dyDescent="0.2">
      <c r="C46" s="1"/>
      <c r="D46" s="56"/>
      <c r="E46" s="1"/>
      <c r="H46" s="383"/>
      <c r="I46" s="383"/>
      <c r="J46" s="383"/>
      <c r="K46" s="383"/>
      <c r="L46" s="383"/>
      <c r="M46" s="383"/>
    </row>
    <row r="47" spans="1:15" x14ac:dyDescent="0.2">
      <c r="C47" s="1"/>
      <c r="D47" s="56"/>
      <c r="E47" s="1"/>
      <c r="H47" s="383"/>
      <c r="I47" s="383"/>
      <c r="J47" s="383"/>
      <c r="K47" s="383"/>
      <c r="L47" s="383"/>
      <c r="M47" s="383"/>
    </row>
    <row r="48" spans="1:15" x14ac:dyDescent="0.2">
      <c r="C48" s="1"/>
      <c r="D48" s="56"/>
      <c r="E48" s="1"/>
      <c r="H48" s="383"/>
      <c r="I48" s="383"/>
      <c r="J48" s="383"/>
      <c r="K48" s="383"/>
      <c r="L48" s="383"/>
      <c r="M48" s="383"/>
    </row>
    <row r="49" spans="3:13" x14ac:dyDescent="0.2">
      <c r="C49" s="1"/>
      <c r="D49" s="56"/>
      <c r="E49" s="1"/>
      <c r="H49" s="383"/>
      <c r="I49" s="383"/>
      <c r="J49" s="383"/>
      <c r="K49" s="383"/>
      <c r="L49" s="383"/>
      <c r="M49" s="383"/>
    </row>
    <row r="50" spans="3:13" x14ac:dyDescent="0.2">
      <c r="C50" s="1"/>
      <c r="D50" s="56"/>
      <c r="E50" s="1"/>
      <c r="H50" s="383"/>
      <c r="I50" s="383"/>
      <c r="J50" s="383"/>
      <c r="K50" s="383"/>
      <c r="L50" s="383"/>
      <c r="M50" s="383"/>
    </row>
    <row r="51" spans="3:13" x14ac:dyDescent="0.2">
      <c r="C51" s="1"/>
      <c r="D51" s="56"/>
      <c r="E51" s="1"/>
      <c r="H51" s="383"/>
      <c r="I51" s="383"/>
      <c r="J51" s="383"/>
      <c r="K51" s="383"/>
      <c r="L51" s="383"/>
      <c r="M51" s="383"/>
    </row>
    <row r="52" spans="3:13" x14ac:dyDescent="0.2">
      <c r="C52" s="1"/>
      <c r="D52" s="56"/>
      <c r="E52" s="1"/>
      <c r="H52" s="383"/>
      <c r="I52" s="383"/>
      <c r="J52" s="383"/>
      <c r="K52" s="383"/>
      <c r="L52" s="383"/>
      <c r="M52" s="383"/>
    </row>
    <row r="53" spans="3:13" x14ac:dyDescent="0.2">
      <c r="C53" s="1"/>
      <c r="D53" s="56"/>
      <c r="E53" s="1"/>
      <c r="H53" s="383"/>
      <c r="I53" s="383"/>
      <c r="J53" s="383"/>
      <c r="K53" s="383"/>
      <c r="L53" s="383"/>
      <c r="M53" s="383"/>
    </row>
    <row r="54" spans="3:13" x14ac:dyDescent="0.2">
      <c r="C54" s="1"/>
      <c r="D54" s="56"/>
      <c r="E54" s="1"/>
      <c r="H54" s="383"/>
      <c r="I54" s="383"/>
      <c r="J54" s="383"/>
      <c r="K54" s="383"/>
      <c r="L54" s="383"/>
      <c r="M54" s="383"/>
    </row>
    <row r="55" spans="3:13" x14ac:dyDescent="0.2">
      <c r="C55" s="1"/>
      <c r="D55" s="56"/>
      <c r="E55" s="1"/>
      <c r="H55" s="383"/>
      <c r="I55" s="383"/>
      <c r="J55" s="383"/>
      <c r="K55" s="383"/>
      <c r="L55" s="383"/>
      <c r="M55" s="383"/>
    </row>
    <row r="56" spans="3:13" x14ac:dyDescent="0.2">
      <c r="C56" s="1"/>
      <c r="D56" s="56"/>
      <c r="E56" s="1"/>
      <c r="H56" s="383"/>
      <c r="I56" s="383"/>
      <c r="J56" s="383"/>
      <c r="K56" s="383"/>
      <c r="L56" s="383"/>
      <c r="M56" s="383"/>
    </row>
    <row r="57" spans="3:13" x14ac:dyDescent="0.2">
      <c r="C57" s="1"/>
      <c r="D57" s="56"/>
      <c r="E57" s="1"/>
      <c r="H57" s="383"/>
      <c r="I57" s="383"/>
      <c r="J57" s="383"/>
      <c r="K57" s="383"/>
      <c r="L57" s="383"/>
      <c r="M57" s="383"/>
    </row>
    <row r="58" spans="3:13" x14ac:dyDescent="0.2">
      <c r="C58" s="1"/>
      <c r="D58" s="56"/>
      <c r="E58" s="1"/>
      <c r="H58" s="383"/>
      <c r="I58" s="383"/>
      <c r="J58" s="383"/>
      <c r="K58" s="383"/>
      <c r="L58" s="383"/>
      <c r="M58" s="383"/>
    </row>
    <row r="59" spans="3:13" x14ac:dyDescent="0.2">
      <c r="C59" s="1"/>
      <c r="D59" s="56"/>
      <c r="E59" s="1"/>
      <c r="H59" s="383"/>
      <c r="I59" s="383"/>
      <c r="J59" s="383"/>
      <c r="K59" s="383"/>
      <c r="L59" s="383"/>
      <c r="M59" s="383"/>
    </row>
    <row r="60" spans="3:13" hidden="1" x14ac:dyDescent="0.2">
      <c r="C60" s="1"/>
      <c r="D60" s="56"/>
      <c r="E60" s="1"/>
    </row>
    <row r="61" spans="3:13" hidden="1" x14ac:dyDescent="0.2">
      <c r="C61" s="1"/>
      <c r="D61" s="56"/>
      <c r="E61" s="1"/>
    </row>
    <row r="62" spans="3:13" hidden="1" x14ac:dyDescent="0.2">
      <c r="C62" s="1"/>
      <c r="D62" s="56"/>
      <c r="E62" s="1"/>
    </row>
    <row r="63" spans="3:13" hidden="1" x14ac:dyDescent="0.2">
      <c r="C63" s="1"/>
      <c r="D63" s="56"/>
      <c r="E63" s="1"/>
    </row>
    <row r="64" spans="3:13" hidden="1" x14ac:dyDescent="0.2">
      <c r="C64" s="1"/>
      <c r="D64" s="56"/>
      <c r="E64" s="1"/>
    </row>
    <row r="65" spans="3:5" hidden="1" x14ac:dyDescent="0.2">
      <c r="C65" s="1"/>
      <c r="D65" s="56"/>
      <c r="E65" s="1"/>
    </row>
  </sheetData>
  <sheetProtection algorithmName="SHA-512" hashValue="A7fzaWhqeX398vrR1KMY912lLQzrY+BaFjE/xHXYa6LK6sGBF7ppCqs5fQfW//NmC8PwYXmJWqob/4ZPd8X2Uw==" saltValue="NUxinkFuiNY0gyizvdVZUw==" spinCount="100000" sheet="1" objects="1" scenarios="1"/>
  <mergeCells count="2">
    <mergeCell ref="C12:G12"/>
    <mergeCell ref="H43:M59"/>
  </mergeCells>
  <hyperlinks>
    <hyperlink ref="A1" location="I1_600" display="I1_600" xr:uid="{00000000-0004-0000-0500-000000000000}"/>
    <hyperlink ref="A3" location="I1_101" display="I1_101" xr:uid="{00000000-0004-0000-0500-000001000000}"/>
    <hyperlink ref="A4" location="I1_105" display="I1_105" xr:uid="{00000000-0004-0000-0500-000002000000}"/>
    <hyperlink ref="A6" location="I1_106" display="I1_106" xr:uid="{00000000-0004-0000-0500-000003000000}"/>
    <hyperlink ref="A10" location="I1_107" display="I1_107" xr:uid="{00000000-0004-0000-0500-000004000000}"/>
    <hyperlink ref="A12" location="I1_501" display="I1_501" xr:uid="{00000000-0004-0000-0500-000005000000}"/>
    <hyperlink ref="A14" location="I1_110" display="I1_110" xr:uid="{00000000-0004-0000-0500-000006000000}"/>
    <hyperlink ref="A15" location="I1_111" display="I1_111" xr:uid="{00000000-0004-0000-0500-000007000000}"/>
    <hyperlink ref="A16" location="I1_112" display="I1_112" xr:uid="{00000000-0004-0000-0500-000008000000}"/>
    <hyperlink ref="A18" location="I1_114" display="I1_114" xr:uid="{00000000-0004-0000-0500-000009000000}"/>
    <hyperlink ref="A19" location="I1_115" display="I1_115" xr:uid="{00000000-0004-0000-0500-00000A000000}"/>
    <hyperlink ref="A21" location="I1_610" display="I1_610" xr:uid="{00000000-0004-0000-0500-00000B000000}"/>
    <hyperlink ref="A22" location="I1_151" display="I1_151" xr:uid="{00000000-0004-0000-0500-00000C000000}"/>
    <hyperlink ref="A23" location="I1_612" display="I1_612" xr:uid="{00000000-0004-0000-0500-00000D000000}"/>
    <hyperlink ref="A24" location="I1_613" display="I1_613" xr:uid="{00000000-0004-0000-0500-00000E000000}"/>
    <hyperlink ref="A25" location="I1_157" display="I1_157" xr:uid="{00000000-0004-0000-0500-00000F000000}"/>
    <hyperlink ref="A26" location="I1_158" display="I1_158" xr:uid="{00000000-0004-0000-0500-000010000000}"/>
    <hyperlink ref="A27" location="I1_615" display="I1_615" xr:uid="{00000000-0004-0000-0500-000011000000}"/>
    <hyperlink ref="A28" location="I1_161" display="I1_161" xr:uid="{00000000-0004-0000-0500-000012000000}"/>
    <hyperlink ref="A29" location="I1_191" display="I1_191" xr:uid="{00000000-0004-0000-0500-000013000000}"/>
    <hyperlink ref="A30" location="I1_531" display="I1_531" xr:uid="{00000000-0004-0000-0500-000014000000}"/>
    <hyperlink ref="A32" location="I1_620" display="I1_620" xr:uid="{00000000-0004-0000-0500-000015000000}"/>
    <hyperlink ref="A34" location="I1_621" display="I1_621" xr:uid="{00000000-0004-0000-0500-000016000000}"/>
    <hyperlink ref="A35" location="I1_622" display="I1_622" xr:uid="{00000000-0004-0000-0500-000017000000}"/>
    <hyperlink ref="A37" location="I1_624" display="I1_624" xr:uid="{00000000-0004-0000-0500-000018000000}"/>
    <hyperlink ref="A38" location="I1_625" display="I1_625" xr:uid="{00000000-0004-0000-0500-000019000000}"/>
    <hyperlink ref="A39" location="I1_626" display="I1_626" xr:uid="{00000000-0004-0000-0500-00001A000000}"/>
    <hyperlink ref="A40" location="I1_627" display="I1_627" xr:uid="{00000000-0004-0000-0500-00001B000000}"/>
    <hyperlink ref="A42" location="I1_590" display="I1_590" xr:uid="{00000000-0004-0000-0500-00001C000000}"/>
    <hyperlink ref="N3" location="I1_650" display="I1_650" xr:uid="{00000000-0004-0000-0500-00001D000000}"/>
    <hyperlink ref="N4" location="I1_553" display="I1_553" xr:uid="{00000000-0004-0000-0500-00001E000000}"/>
    <hyperlink ref="N5" location="I1_651" display="I1_651" xr:uid="{00000000-0004-0000-0500-00001F000000}"/>
    <hyperlink ref="N6" location="I1_652" display="I1_652" xr:uid="{00000000-0004-0000-0500-000020000000}"/>
    <hyperlink ref="N8" location="I1_653" display="I1_653" xr:uid="{00000000-0004-0000-0500-000021000000}"/>
    <hyperlink ref="N42" location="I1_690" display="I1_690" xr:uid="{00000000-0004-0000-0500-000022000000}"/>
    <hyperlink ref="N23" location="I1_587" display="I1_587" xr:uid="{00000000-0004-0000-0500-000023000000}"/>
    <hyperlink ref="N24" location="I1_588" display="I1_588" xr:uid="{00000000-0004-0000-0500-000024000000}"/>
    <hyperlink ref="N25" location="I1_589" display="I1_589" xr:uid="{00000000-0004-0000-0500-000025000000}"/>
    <hyperlink ref="N27" location="I1_591" display="I1_591" xr:uid="{00000000-0004-0000-0500-000026000000}"/>
    <hyperlink ref="A36" location="I1_623" display="I1_623" xr:uid="{00000000-0004-0000-0500-000027000000}"/>
  </hyperlinks>
  <pageMargins left="0.70866141732283472" right="0.70866141732283472" top="0.78740157480314965" bottom="0.78740157480314965" header="0.31496062992125984" footer="0.31496062992125984"/>
  <pageSetup paperSize="9" orientation="portrait" r:id="rId1"/>
  <headerFooter>
    <oddHeader>&amp;R&amp;G</oddHeader>
    <oddFooter>&amp;L&amp;10&amp;G&amp;C&amp;10Seite &amp;P/&amp;N&amp;R&amp;10&amp;D</oddFooter>
  </headerFooter>
  <colBreaks count="1" manualBreakCount="1">
    <brk id="7" max="1048575" man="1"/>
  </colBreaks>
  <drawing r:id="rId2"/>
  <legacyDrawingHF r:id="rId3"/>
  <extLst>
    <ext xmlns:x14="http://schemas.microsoft.com/office/spreadsheetml/2009/9/main" uri="{CCE6A557-97BC-4b89-ADB6-D9C93CAAB3DF}">
      <x14:dataValidations xmlns:xm="http://schemas.microsoft.com/office/excel/2006/main" count="1">
        <x14:dataValidation type="whole" allowBlank="1" showInputMessage="1" showErrorMessage="1" errorTitle="Jahr ausserhalb der Betrachtung" error="Es können nur Jahre innerhalb des Betrachtungszeitraumes von 25 Jahren ab Projektstart ausgewertet werden." promptTitle="Auswertungsjahr" prompt="Jahr innerhalb des Betrachtungsraumes eingeben" xr:uid="{00000000-0002-0000-0500-000000000000}">
          <x14:formula1>
            <xm:f>B1_Berechnungen!B36</xm:f>
          </x14:formula1>
          <x14:formula2>
            <xm:f>B1_Berechnungen!B60</xm:f>
          </x14:formula2>
          <xm:sqref>E32:E33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048576"/>
  <sheetViews>
    <sheetView zoomScaleNormal="100" workbookViewId="0">
      <selection activeCell="C9" sqref="C9"/>
    </sheetView>
  </sheetViews>
  <sheetFormatPr baseColWidth="10" defaultColWidth="0" defaultRowHeight="12.75" zeroHeight="1" x14ac:dyDescent="0.2"/>
  <cols>
    <col min="1" max="1" width="4.42578125" style="13" customWidth="1"/>
    <col min="2" max="2" width="43.5703125" style="13" customWidth="1"/>
    <col min="3" max="3" width="41.28515625" style="13" customWidth="1"/>
    <col min="4" max="4" width="16.85546875" style="13" customWidth="1"/>
    <col min="5" max="6" width="15.42578125" style="13" customWidth="1"/>
    <col min="7" max="22" width="10.85546875" style="13" customWidth="1"/>
    <col min="23" max="23" width="0" style="13" hidden="1" customWidth="1"/>
    <col min="24" max="16384" width="10.85546875" style="13" hidden="1"/>
  </cols>
  <sheetData>
    <row r="1" spans="1:6" ht="18" x14ac:dyDescent="0.25">
      <c r="A1" s="3">
        <v>900</v>
      </c>
      <c r="B1" s="356" t="s">
        <v>121</v>
      </c>
    </row>
    <row r="2" spans="1:6" x14ac:dyDescent="0.2"/>
    <row r="3" spans="1:6" x14ac:dyDescent="0.2">
      <c r="A3" s="3">
        <v>104</v>
      </c>
      <c r="C3" s="14" t="s">
        <v>257</v>
      </c>
    </row>
    <row r="4" spans="1:6" x14ac:dyDescent="0.2"/>
    <row r="5" spans="1:6" x14ac:dyDescent="0.2">
      <c r="A5" s="3">
        <v>910</v>
      </c>
      <c r="B5" s="15" t="s">
        <v>128</v>
      </c>
      <c r="C5" s="16"/>
      <c r="D5" s="16"/>
      <c r="E5" s="16"/>
      <c r="F5" s="16"/>
    </row>
    <row r="6" spans="1:6" x14ac:dyDescent="0.2">
      <c r="A6" s="3">
        <v>911</v>
      </c>
      <c r="B6" s="17"/>
      <c r="C6" s="18" t="s">
        <v>86</v>
      </c>
      <c r="D6" s="18"/>
      <c r="E6" s="18"/>
      <c r="F6" s="18"/>
    </row>
    <row r="7" spans="1:6" ht="15" customHeight="1" x14ac:dyDescent="0.2">
      <c r="B7" s="19"/>
      <c r="C7" s="384" t="s">
        <v>52</v>
      </c>
      <c r="D7" s="386" t="s">
        <v>87</v>
      </c>
      <c r="E7" s="386" t="s">
        <v>88</v>
      </c>
      <c r="F7" s="386" t="s">
        <v>89</v>
      </c>
    </row>
    <row r="8" spans="1:6" x14ac:dyDescent="0.2">
      <c r="B8" s="19"/>
      <c r="C8" s="385"/>
      <c r="D8" s="387"/>
      <c r="E8" s="387"/>
      <c r="F8" s="387"/>
    </row>
    <row r="9" spans="1:6" x14ac:dyDescent="0.2">
      <c r="B9" s="19"/>
      <c r="C9" s="20" t="str">
        <f>E3_Verbraucher!$D15</f>
        <v>Netzteil 1</v>
      </c>
      <c r="D9" s="20"/>
      <c r="E9" s="21">
        <f>E3_Verbraucher!$D19</f>
        <v>150</v>
      </c>
      <c r="F9" s="21">
        <f>E3_Verbraucher!$D18</f>
        <v>250</v>
      </c>
    </row>
    <row r="10" spans="1:6" x14ac:dyDescent="0.2">
      <c r="B10" s="19"/>
      <c r="C10" s="20" t="str">
        <f>E3_Verbraucher!$E15</f>
        <v>Kunde 2</v>
      </c>
      <c r="D10" s="20"/>
      <c r="E10" s="21">
        <f>E3_Verbraucher!$E19</f>
        <v>25</v>
      </c>
      <c r="F10" s="21">
        <f>E3_Verbraucher!$E18</f>
        <v>40</v>
      </c>
    </row>
    <row r="11" spans="1:6" x14ac:dyDescent="0.2">
      <c r="B11" s="19"/>
      <c r="C11" s="20" t="str">
        <f>E3_Verbraucher!$F15</f>
        <v>Kunde 3</v>
      </c>
      <c r="D11" s="20"/>
      <c r="E11" s="21">
        <f>E3_Verbraucher!$F19</f>
        <v>20</v>
      </c>
      <c r="F11" s="21">
        <f>E3_Verbraucher!$F18</f>
        <v>30</v>
      </c>
    </row>
    <row r="12" spans="1:6" x14ac:dyDescent="0.2">
      <c r="B12" s="19"/>
      <c r="C12" s="20" t="str">
        <f>E3_Verbraucher!$G15</f>
        <v>Kunde 4</v>
      </c>
      <c r="D12" s="20"/>
      <c r="E12" s="21">
        <f>E3_Verbraucher!$G19</f>
        <v>15</v>
      </c>
      <c r="F12" s="21">
        <f>E3_Verbraucher!$G18</f>
        <v>20</v>
      </c>
    </row>
    <row r="13" spans="1:6" x14ac:dyDescent="0.2">
      <c r="B13" s="19"/>
      <c r="C13" s="20" t="str">
        <f>E3_Verbraucher!$H15</f>
        <v>Kunde 5</v>
      </c>
      <c r="D13" s="20"/>
      <c r="E13" s="21">
        <f>E3_Verbraucher!$H19</f>
        <v>20</v>
      </c>
      <c r="F13" s="21">
        <f>E3_Verbraucher!$H18</f>
        <v>30</v>
      </c>
    </row>
    <row r="14" spans="1:6" x14ac:dyDescent="0.2">
      <c r="B14" s="19"/>
      <c r="C14" s="20" t="str">
        <f>E3_Verbraucher!$I15</f>
        <v>Kunde 6</v>
      </c>
      <c r="D14" s="20"/>
      <c r="E14" s="21">
        <f>E3_Verbraucher!$I19</f>
        <v>1000</v>
      </c>
      <c r="F14" s="21">
        <f>E3_Verbraucher!$I18</f>
        <v>1500</v>
      </c>
    </row>
    <row r="15" spans="1:6" x14ac:dyDescent="0.2">
      <c r="B15" s="19"/>
      <c r="C15" s="20">
        <f>E3_Verbraucher!$J15</f>
        <v>0</v>
      </c>
      <c r="D15" s="20"/>
      <c r="E15" s="21">
        <f>E3_Verbraucher!$J19</f>
        <v>0</v>
      </c>
      <c r="F15" s="21">
        <f>E3_Verbraucher!$J18</f>
        <v>0</v>
      </c>
    </row>
    <row r="16" spans="1:6" x14ac:dyDescent="0.2">
      <c r="B16" s="19"/>
      <c r="C16" s="20">
        <f>E3_Verbraucher!$K15</f>
        <v>0</v>
      </c>
      <c r="D16" s="20"/>
      <c r="E16" s="21">
        <f>E3_Verbraucher!$K19</f>
        <v>0</v>
      </c>
      <c r="F16" s="21">
        <f>E3_Verbraucher!$K18</f>
        <v>0</v>
      </c>
    </row>
    <row r="17" spans="1:6" x14ac:dyDescent="0.2">
      <c r="B17" s="19"/>
      <c r="C17" s="20">
        <f>E3_Verbraucher!$L15</f>
        <v>0</v>
      </c>
      <c r="D17" s="20"/>
      <c r="E17" s="21">
        <f>E3_Verbraucher!$L19</f>
        <v>0</v>
      </c>
      <c r="F17" s="21">
        <f>E3_Verbraucher!$L18</f>
        <v>0</v>
      </c>
    </row>
    <row r="18" spans="1:6" x14ac:dyDescent="0.2">
      <c r="B18" s="19"/>
      <c r="C18" s="20">
        <f>E3_Verbraucher!$M15</f>
        <v>0</v>
      </c>
      <c r="D18" s="20"/>
      <c r="E18" s="21">
        <f>E3_Verbraucher!$M19</f>
        <v>0</v>
      </c>
      <c r="F18" s="21">
        <f>E3_Verbraucher!$M18</f>
        <v>0</v>
      </c>
    </row>
    <row r="19" spans="1:6" x14ac:dyDescent="0.2">
      <c r="B19" s="19"/>
      <c r="C19" s="20">
        <f>E3_Verbraucher!$N15</f>
        <v>0</v>
      </c>
      <c r="D19" s="20"/>
      <c r="E19" s="21">
        <f>E3_Verbraucher!$N19</f>
        <v>0</v>
      </c>
      <c r="F19" s="21">
        <f>E3_Verbraucher!$N18</f>
        <v>0</v>
      </c>
    </row>
    <row r="20" spans="1:6" x14ac:dyDescent="0.2">
      <c r="B20" s="19"/>
      <c r="C20" s="20">
        <f>E3_Verbraucher!$O15</f>
        <v>0</v>
      </c>
      <c r="D20" s="20"/>
      <c r="E20" s="21">
        <f>E3_Verbraucher!$O19</f>
        <v>0</v>
      </c>
      <c r="F20" s="21">
        <f>E3_Verbraucher!$O18</f>
        <v>0</v>
      </c>
    </row>
    <row r="21" spans="1:6" x14ac:dyDescent="0.2">
      <c r="B21" s="19"/>
      <c r="C21" s="20">
        <f>E3_Verbraucher!$P15</f>
        <v>0</v>
      </c>
      <c r="D21" s="20"/>
      <c r="E21" s="21">
        <f>E3_Verbraucher!$P19</f>
        <v>0</v>
      </c>
      <c r="F21" s="21">
        <f>E3_Verbraucher!$P18</f>
        <v>0</v>
      </c>
    </row>
    <row r="22" spans="1:6" x14ac:dyDescent="0.2">
      <c r="B22" s="19"/>
      <c r="C22" s="20">
        <f>E3_Verbraucher!$Q15</f>
        <v>0</v>
      </c>
      <c r="D22" s="20"/>
      <c r="E22" s="21">
        <f>E3_Verbraucher!$Q19</f>
        <v>0</v>
      </c>
      <c r="F22" s="21">
        <f>E3_Verbraucher!$Q18</f>
        <v>0</v>
      </c>
    </row>
    <row r="23" spans="1:6" x14ac:dyDescent="0.2">
      <c r="B23" s="19"/>
      <c r="C23" s="20">
        <f>E3_Verbraucher!$R15</f>
        <v>0</v>
      </c>
      <c r="D23" s="20"/>
      <c r="E23" s="21">
        <f>E3_Verbraucher!$R19</f>
        <v>0</v>
      </c>
      <c r="F23" s="21">
        <f>E3_Verbraucher!$R18</f>
        <v>0</v>
      </c>
    </row>
    <row r="24" spans="1:6" x14ac:dyDescent="0.2">
      <c r="C24" s="18" t="s">
        <v>86</v>
      </c>
      <c r="D24" s="22"/>
      <c r="E24" s="22"/>
    </row>
    <row r="25" spans="1:6" ht="25.5" x14ac:dyDescent="0.2">
      <c r="A25" s="3">
        <v>912</v>
      </c>
      <c r="C25" s="23"/>
      <c r="D25" s="24" t="s">
        <v>122</v>
      </c>
      <c r="E25" s="25" t="s">
        <v>123</v>
      </c>
    </row>
    <row r="26" spans="1:6" x14ac:dyDescent="0.2">
      <c r="C26" s="26" t="str">
        <f>C9</f>
        <v>Netzteil 1</v>
      </c>
      <c r="D26" s="20">
        <f>E3_Verbraucher!$D21</f>
        <v>2024</v>
      </c>
      <c r="E26" s="21">
        <f>E9</f>
        <v>150</v>
      </c>
    </row>
    <row r="27" spans="1:6" x14ac:dyDescent="0.2">
      <c r="C27" s="26" t="str">
        <f t="shared" ref="C27:E40" si="0">C10</f>
        <v>Kunde 2</v>
      </c>
      <c r="D27" s="20">
        <f>E3_Verbraucher!$E21</f>
        <v>2026</v>
      </c>
      <c r="E27" s="21">
        <f t="shared" si="0"/>
        <v>25</v>
      </c>
    </row>
    <row r="28" spans="1:6" x14ac:dyDescent="0.2">
      <c r="C28" s="26" t="str">
        <f t="shared" si="0"/>
        <v>Kunde 3</v>
      </c>
      <c r="D28" s="20">
        <f>E3_Verbraucher!$F21</f>
        <v>2026</v>
      </c>
      <c r="E28" s="21">
        <f t="shared" si="0"/>
        <v>20</v>
      </c>
    </row>
    <row r="29" spans="1:6" x14ac:dyDescent="0.2">
      <c r="C29" s="26" t="str">
        <f t="shared" si="0"/>
        <v>Kunde 4</v>
      </c>
      <c r="D29" s="20">
        <f>E3_Verbraucher!$G21</f>
        <v>2027</v>
      </c>
      <c r="E29" s="21">
        <f t="shared" si="0"/>
        <v>15</v>
      </c>
    </row>
    <row r="30" spans="1:6" x14ac:dyDescent="0.2">
      <c r="C30" s="26" t="str">
        <f t="shared" si="0"/>
        <v>Kunde 5</v>
      </c>
      <c r="D30" s="20">
        <f>E3_Verbraucher!$H21</f>
        <v>2025</v>
      </c>
      <c r="E30" s="21">
        <f t="shared" si="0"/>
        <v>20</v>
      </c>
    </row>
    <row r="31" spans="1:6" x14ac:dyDescent="0.2">
      <c r="C31" s="26" t="str">
        <f t="shared" si="0"/>
        <v>Kunde 6</v>
      </c>
      <c r="D31" s="20">
        <f>E3_Verbraucher!$I21</f>
        <v>2025</v>
      </c>
      <c r="E31" s="21">
        <f t="shared" si="0"/>
        <v>1000</v>
      </c>
    </row>
    <row r="32" spans="1:6" x14ac:dyDescent="0.2">
      <c r="C32" s="26">
        <f t="shared" si="0"/>
        <v>0</v>
      </c>
      <c r="D32" s="20">
        <f>E3_Verbraucher!$J21</f>
        <v>0</v>
      </c>
      <c r="E32" s="21">
        <f t="shared" si="0"/>
        <v>0</v>
      </c>
    </row>
    <row r="33" spans="1:19" x14ac:dyDescent="0.2">
      <c r="C33" s="26">
        <f t="shared" si="0"/>
        <v>0</v>
      </c>
      <c r="D33" s="20">
        <f>E3_Verbraucher!$K21</f>
        <v>0</v>
      </c>
      <c r="E33" s="21">
        <f t="shared" si="0"/>
        <v>0</v>
      </c>
    </row>
    <row r="34" spans="1:19" x14ac:dyDescent="0.2">
      <c r="C34" s="26">
        <f t="shared" si="0"/>
        <v>0</v>
      </c>
      <c r="D34" s="20">
        <f>E3_Verbraucher!$L21</f>
        <v>0</v>
      </c>
      <c r="E34" s="21">
        <f t="shared" si="0"/>
        <v>0</v>
      </c>
    </row>
    <row r="35" spans="1:19" x14ac:dyDescent="0.2">
      <c r="C35" s="26">
        <f t="shared" si="0"/>
        <v>0</v>
      </c>
      <c r="D35" s="20">
        <f>E3_Verbraucher!$M21</f>
        <v>0</v>
      </c>
      <c r="E35" s="21">
        <f t="shared" si="0"/>
        <v>0</v>
      </c>
    </row>
    <row r="36" spans="1:19" x14ac:dyDescent="0.2">
      <c r="C36" s="26">
        <f t="shared" si="0"/>
        <v>0</v>
      </c>
      <c r="D36" s="20">
        <f>E3_Verbraucher!$N21</f>
        <v>0</v>
      </c>
      <c r="E36" s="21">
        <f t="shared" si="0"/>
        <v>0</v>
      </c>
    </row>
    <row r="37" spans="1:19" x14ac:dyDescent="0.2">
      <c r="C37" s="26">
        <f t="shared" si="0"/>
        <v>0</v>
      </c>
      <c r="D37" s="20">
        <f>E3_Verbraucher!$O21</f>
        <v>0</v>
      </c>
      <c r="E37" s="21">
        <f t="shared" si="0"/>
        <v>0</v>
      </c>
    </row>
    <row r="38" spans="1:19" x14ac:dyDescent="0.2">
      <c r="C38" s="26">
        <f t="shared" si="0"/>
        <v>0</v>
      </c>
      <c r="D38" s="20">
        <f>E3_Verbraucher!$P21</f>
        <v>0</v>
      </c>
      <c r="E38" s="21">
        <f t="shared" si="0"/>
        <v>0</v>
      </c>
    </row>
    <row r="39" spans="1:19" x14ac:dyDescent="0.2">
      <c r="C39" s="26">
        <f t="shared" si="0"/>
        <v>0</v>
      </c>
      <c r="D39" s="20">
        <f>E3_Verbraucher!$Q21</f>
        <v>0</v>
      </c>
      <c r="E39" s="21">
        <f t="shared" si="0"/>
        <v>0</v>
      </c>
    </row>
    <row r="40" spans="1:19" x14ac:dyDescent="0.2">
      <c r="C40" s="26">
        <f t="shared" si="0"/>
        <v>0</v>
      </c>
      <c r="D40" s="20">
        <f>E3_Verbraucher!$R21</f>
        <v>0</v>
      </c>
      <c r="E40" s="21">
        <f t="shared" si="0"/>
        <v>0</v>
      </c>
    </row>
    <row r="41" spans="1:19" x14ac:dyDescent="0.2"/>
    <row r="42" spans="1:19" x14ac:dyDescent="0.2">
      <c r="A42" s="3">
        <v>920</v>
      </c>
      <c r="B42" s="16" t="s">
        <v>127</v>
      </c>
      <c r="C42" s="27"/>
      <c r="D42" s="28">
        <f>E1_Projektdaten!D22</f>
        <v>2024</v>
      </c>
      <c r="E42" s="28">
        <f>D42+1</f>
        <v>2025</v>
      </c>
      <c r="F42" s="27">
        <f t="shared" ref="F42:S42" si="1">E42+1</f>
        <v>2026</v>
      </c>
      <c r="G42" s="27">
        <f t="shared" si="1"/>
        <v>2027</v>
      </c>
      <c r="H42" s="27">
        <f t="shared" si="1"/>
        <v>2028</v>
      </c>
      <c r="I42" s="27">
        <f t="shared" si="1"/>
        <v>2029</v>
      </c>
      <c r="J42" s="27">
        <f t="shared" si="1"/>
        <v>2030</v>
      </c>
      <c r="K42" s="27">
        <f t="shared" si="1"/>
        <v>2031</v>
      </c>
      <c r="L42" s="27">
        <f t="shared" si="1"/>
        <v>2032</v>
      </c>
      <c r="M42" s="27">
        <f t="shared" si="1"/>
        <v>2033</v>
      </c>
      <c r="N42" s="27">
        <f t="shared" si="1"/>
        <v>2034</v>
      </c>
      <c r="O42" s="27">
        <f t="shared" si="1"/>
        <v>2035</v>
      </c>
      <c r="P42" s="27">
        <f t="shared" si="1"/>
        <v>2036</v>
      </c>
      <c r="Q42" s="27">
        <f t="shared" si="1"/>
        <v>2037</v>
      </c>
      <c r="R42" s="27">
        <f t="shared" si="1"/>
        <v>2038</v>
      </c>
      <c r="S42" s="27">
        <f t="shared" si="1"/>
        <v>2039</v>
      </c>
    </row>
    <row r="43" spans="1:19" x14ac:dyDescent="0.2">
      <c r="B43" s="29" t="s">
        <v>124</v>
      </c>
      <c r="C43" s="29"/>
      <c r="D43" s="29"/>
      <c r="E43" s="29"/>
      <c r="F43" s="29"/>
      <c r="G43" s="29"/>
      <c r="H43" s="29"/>
      <c r="I43" s="29"/>
      <c r="J43" s="29"/>
      <c r="K43" s="29"/>
      <c r="L43" s="29"/>
      <c r="M43" s="29"/>
      <c r="N43" s="29"/>
      <c r="O43" s="29"/>
      <c r="P43" s="29"/>
      <c r="Q43" s="29"/>
      <c r="R43" s="29"/>
      <c r="S43" s="29"/>
    </row>
    <row r="44" spans="1:19" x14ac:dyDescent="0.2">
      <c r="A44" s="3">
        <v>921</v>
      </c>
      <c r="B44" s="30" t="s">
        <v>125</v>
      </c>
      <c r="C44" s="31"/>
      <c r="D44" s="31"/>
      <c r="E44" s="31"/>
      <c r="F44" s="31"/>
      <c r="G44" s="31"/>
      <c r="H44" s="31"/>
      <c r="I44" s="31"/>
      <c r="J44" s="31"/>
      <c r="K44" s="31"/>
      <c r="L44" s="31"/>
      <c r="M44" s="31"/>
      <c r="N44" s="31"/>
      <c r="O44" s="31"/>
      <c r="P44" s="31"/>
      <c r="Q44" s="31"/>
      <c r="R44" s="31"/>
      <c r="S44" s="31"/>
    </row>
    <row r="45" spans="1:19" x14ac:dyDescent="0.2">
      <c r="B45" s="32" t="str">
        <f>C9</f>
        <v>Netzteil 1</v>
      </c>
      <c r="C45" s="33" t="s">
        <v>126</v>
      </c>
      <c r="D45" s="21">
        <f>E3_Verbraucher!$D18*(E3_Verbraucher!$D21&lt;D$42)+E3_Verbraucher!$D18*(E3_Verbraucher!$D21=D$42)*E3_Verbraucher!$D20</f>
        <v>125</v>
      </c>
      <c r="E45" s="21">
        <f>E3_Verbraucher!$D18*(E3_Verbraucher!$D21&lt;E$42)+E3_Verbraucher!$D18*(E3_Verbraucher!$D21=E$42)*E3_Verbraucher!$D20</f>
        <v>250</v>
      </c>
      <c r="F45" s="21">
        <f>E3_Verbraucher!$D18*(E3_Verbraucher!$D21&lt;F$42)+E3_Verbraucher!$D18*(E3_Verbraucher!$D21=F$42)*E3_Verbraucher!$D20</f>
        <v>250</v>
      </c>
      <c r="G45" s="21">
        <f>E3_Verbraucher!$D18*(E3_Verbraucher!$D21&lt;G$42)+E3_Verbraucher!$D18*(E3_Verbraucher!$D21=G$42)*E3_Verbraucher!$D20</f>
        <v>250</v>
      </c>
      <c r="H45" s="21">
        <f>E3_Verbraucher!$D18*(E3_Verbraucher!$D21&lt;H$42)+E3_Verbraucher!$D18*(E3_Verbraucher!$D21=H$42)*E3_Verbraucher!$D20</f>
        <v>250</v>
      </c>
      <c r="I45" s="21">
        <f>E3_Verbraucher!$D18*(E3_Verbraucher!$D21&lt;I$42)+E3_Verbraucher!$D18*(E3_Verbraucher!$D21=I$42)*E3_Verbraucher!$D20</f>
        <v>250</v>
      </c>
      <c r="J45" s="21">
        <f>E3_Verbraucher!$D18*(E3_Verbraucher!$D21&lt;J$42)+E3_Verbraucher!$D18*(E3_Verbraucher!$D21=J$42)*E3_Verbraucher!$D20</f>
        <v>250</v>
      </c>
      <c r="K45" s="21">
        <f>E3_Verbraucher!$D18*(E3_Verbraucher!$D21&lt;K$42)+E3_Verbraucher!$D18*(E3_Verbraucher!$D21=K$42)*E3_Verbraucher!$D20</f>
        <v>250</v>
      </c>
      <c r="L45" s="21">
        <f>E3_Verbraucher!$D18*(E3_Verbraucher!$D21&lt;L$42)+E3_Verbraucher!$D18*(E3_Verbraucher!$D21=L$42)*E3_Verbraucher!$D20</f>
        <v>250</v>
      </c>
      <c r="M45" s="21">
        <f>E3_Verbraucher!$D18*(E3_Verbraucher!$D21&lt;M$42)+E3_Verbraucher!$D18*(E3_Verbraucher!$D21=M$42)*E3_Verbraucher!$D20</f>
        <v>250</v>
      </c>
      <c r="N45" s="21">
        <f>E3_Verbraucher!$D18*(E3_Verbraucher!$D21&lt;N$42)+E3_Verbraucher!$D18*(E3_Verbraucher!$D21=N$42)*E3_Verbraucher!$D20</f>
        <v>250</v>
      </c>
      <c r="O45" s="21">
        <f>E3_Verbraucher!$D18*(E3_Verbraucher!$D21&lt;O$42)+E3_Verbraucher!$D18*(E3_Verbraucher!$D21=O$42)*E3_Verbraucher!$D20</f>
        <v>250</v>
      </c>
      <c r="P45" s="21">
        <f>E3_Verbraucher!$D18*(E3_Verbraucher!$D21&lt;P$42)+E3_Verbraucher!$D18*(E3_Verbraucher!$D21=P$42)*E3_Verbraucher!$D20</f>
        <v>250</v>
      </c>
      <c r="Q45" s="21">
        <f>E3_Verbraucher!$D18*(E3_Verbraucher!$D21&lt;Q$42)+E3_Verbraucher!$D18*(E3_Verbraucher!$D21=Q$42)*E3_Verbraucher!$D20</f>
        <v>250</v>
      </c>
      <c r="R45" s="21">
        <f>E3_Verbraucher!$D18*(E3_Verbraucher!$D21&lt;R$42)+E3_Verbraucher!$D18*(E3_Verbraucher!$D21=R$42)*E3_Verbraucher!$D20</f>
        <v>250</v>
      </c>
      <c r="S45" s="21">
        <f>E3_Verbraucher!$D18*(E3_Verbraucher!$D21&lt;S$42)+E3_Verbraucher!$D18*(E3_Verbraucher!$D21=S$42)*E3_Verbraucher!$D20</f>
        <v>250</v>
      </c>
    </row>
    <row r="46" spans="1:19" x14ac:dyDescent="0.2">
      <c r="B46" s="32" t="str">
        <f t="shared" ref="B46:B59" si="2">C10</f>
        <v>Kunde 2</v>
      </c>
      <c r="C46" s="33" t="s">
        <v>126</v>
      </c>
      <c r="D46" s="21">
        <f>E3_Verbraucher!$E18*(E3_Verbraucher!$E21&lt;D$42)+E3_Verbraucher!$E18*(E3_Verbraucher!$E21=D$42)*E3_Verbraucher!$E20</f>
        <v>0</v>
      </c>
      <c r="E46" s="21">
        <f>E3_Verbraucher!$E18*(E3_Verbraucher!$E21&lt;E$42)+E3_Verbraucher!$E18*(E3_Verbraucher!$E21=E$42)*E3_Verbraucher!$E20</f>
        <v>0</v>
      </c>
      <c r="F46" s="21">
        <f>E3_Verbraucher!$E18*(E3_Verbraucher!$E21&lt;F$42)+E3_Verbraucher!$E18*(E3_Verbraucher!$E21=F$42)*E3_Verbraucher!$E20</f>
        <v>20</v>
      </c>
      <c r="G46" s="21">
        <f>E3_Verbraucher!$E18*(E3_Verbraucher!$E21&lt;G$42)+E3_Verbraucher!$E18*(E3_Verbraucher!$E21=G$42)*E3_Verbraucher!$E20</f>
        <v>40</v>
      </c>
      <c r="H46" s="21">
        <f>E3_Verbraucher!$E18*(E3_Verbraucher!$E21&lt;H$42)+E3_Verbraucher!$E18*(E3_Verbraucher!$E21=H$42)*E3_Verbraucher!$E20</f>
        <v>40</v>
      </c>
      <c r="I46" s="21">
        <f>E3_Verbraucher!$E18*(E3_Verbraucher!$E21&lt;I$42)+E3_Verbraucher!$E18*(E3_Verbraucher!$E21=I$42)*E3_Verbraucher!$E20</f>
        <v>40</v>
      </c>
      <c r="J46" s="21">
        <f>E3_Verbraucher!$E18*(E3_Verbraucher!$E21&lt;J$42)+E3_Verbraucher!$E18*(E3_Verbraucher!$E21=J$42)*E3_Verbraucher!$E20</f>
        <v>40</v>
      </c>
      <c r="K46" s="21">
        <f>E3_Verbraucher!$E18*(E3_Verbraucher!$E21&lt;K$42)+E3_Verbraucher!$E18*(E3_Verbraucher!$E21=K$42)*E3_Verbraucher!$E20</f>
        <v>40</v>
      </c>
      <c r="L46" s="21">
        <f>E3_Verbraucher!$E18*(E3_Verbraucher!$E21&lt;L$42)+E3_Verbraucher!$E18*(E3_Verbraucher!$E21=L$42)*E3_Verbraucher!$E20</f>
        <v>40</v>
      </c>
      <c r="M46" s="21">
        <f>E3_Verbraucher!$E18*(E3_Verbraucher!$E21&lt;M$42)+E3_Verbraucher!$E18*(E3_Verbraucher!$E21=M$42)*E3_Verbraucher!$E20</f>
        <v>40</v>
      </c>
      <c r="N46" s="21">
        <f>E3_Verbraucher!$E18*(E3_Verbraucher!$E21&lt;N$42)+E3_Verbraucher!$E18*(E3_Verbraucher!$E21=N$42)*E3_Verbraucher!$E20</f>
        <v>40</v>
      </c>
      <c r="O46" s="21">
        <f>E3_Verbraucher!$E18*(E3_Verbraucher!$E21&lt;O$42)+E3_Verbraucher!$E18*(E3_Verbraucher!$E21=O$42)*E3_Verbraucher!$E20</f>
        <v>40</v>
      </c>
      <c r="P46" s="21">
        <f>E3_Verbraucher!$E18*(E3_Verbraucher!$E21&lt;P$42)+E3_Verbraucher!$E18*(E3_Verbraucher!$E21=P$42)*E3_Verbraucher!$E20</f>
        <v>40</v>
      </c>
      <c r="Q46" s="21">
        <f>E3_Verbraucher!$E18*(E3_Verbraucher!$E21&lt;Q$42)+E3_Verbraucher!$E18*(E3_Verbraucher!$E21=Q$42)*E3_Verbraucher!$E20</f>
        <v>40</v>
      </c>
      <c r="R46" s="21">
        <f>E3_Verbraucher!$E18*(E3_Verbraucher!$E21&lt;R$42)+E3_Verbraucher!$E18*(E3_Verbraucher!$E21=R$42)*E3_Verbraucher!$E20</f>
        <v>40</v>
      </c>
      <c r="S46" s="21">
        <f>E3_Verbraucher!$E18*(E3_Verbraucher!$E21&lt;S$42)+E3_Verbraucher!$E18*(E3_Verbraucher!$E21=S$42)*E3_Verbraucher!$E20</f>
        <v>40</v>
      </c>
    </row>
    <row r="47" spans="1:19" x14ac:dyDescent="0.2">
      <c r="B47" s="32" t="str">
        <f t="shared" si="2"/>
        <v>Kunde 3</v>
      </c>
      <c r="C47" s="33" t="s">
        <v>126</v>
      </c>
      <c r="D47" s="21">
        <f>E3_Verbraucher!$F18*(E3_Verbraucher!$F21&lt;D$42)+E3_Verbraucher!$F18*(E3_Verbraucher!$F21=D$42)*E3_Verbraucher!$F20</f>
        <v>0</v>
      </c>
      <c r="E47" s="21">
        <f>E3_Verbraucher!$F18*(E3_Verbraucher!$F21&lt;E$42)+E3_Verbraucher!$F18*(E3_Verbraucher!$F21=E$42)*E3_Verbraucher!$F20</f>
        <v>0</v>
      </c>
      <c r="F47" s="21">
        <f>E3_Verbraucher!$F18*(E3_Verbraucher!$F21&lt;F$42)+E3_Verbraucher!$F18*(E3_Verbraucher!$F21=F$42)*E3_Verbraucher!$F20</f>
        <v>15</v>
      </c>
      <c r="G47" s="21">
        <f>E3_Verbraucher!$F18*(E3_Verbraucher!$F21&lt;G$42)+E3_Verbraucher!$F18*(E3_Verbraucher!$F21=G$42)*E3_Verbraucher!$F20</f>
        <v>30</v>
      </c>
      <c r="H47" s="21">
        <f>E3_Verbraucher!$F18*(E3_Verbraucher!$F21&lt;H$42)+E3_Verbraucher!$F18*(E3_Verbraucher!$F21=H$42)*E3_Verbraucher!$F20</f>
        <v>30</v>
      </c>
      <c r="I47" s="21">
        <f>E3_Verbraucher!$F18*(E3_Verbraucher!$F21&lt;I$42)+E3_Verbraucher!$F18*(E3_Verbraucher!$F21=I$42)*E3_Verbraucher!$F20</f>
        <v>30</v>
      </c>
      <c r="J47" s="21">
        <f>E3_Verbraucher!$F18*(E3_Verbraucher!$F21&lt;J$42)+E3_Verbraucher!$F18*(E3_Verbraucher!$F21=J$42)*E3_Verbraucher!$F20</f>
        <v>30</v>
      </c>
      <c r="K47" s="21">
        <f>E3_Verbraucher!$F18*(E3_Verbraucher!$F21&lt;K$42)+E3_Verbraucher!$F18*(E3_Verbraucher!$F21=K$42)*E3_Verbraucher!$F20</f>
        <v>30</v>
      </c>
      <c r="L47" s="21">
        <f>E3_Verbraucher!$F18*(E3_Verbraucher!$F21&lt;L$42)+E3_Verbraucher!$F18*(E3_Verbraucher!$F21=L$42)*E3_Verbraucher!$F20</f>
        <v>30</v>
      </c>
      <c r="M47" s="21">
        <f>E3_Verbraucher!$F18*(E3_Verbraucher!$F21&lt;M$42)+E3_Verbraucher!$F18*(E3_Verbraucher!$F21=M$42)*E3_Verbraucher!$F20</f>
        <v>30</v>
      </c>
      <c r="N47" s="21">
        <f>E3_Verbraucher!$F18*(E3_Verbraucher!$F21&lt;N$42)+E3_Verbraucher!$F18*(E3_Verbraucher!$F21=N$42)*E3_Verbraucher!$F20</f>
        <v>30</v>
      </c>
      <c r="O47" s="21">
        <f>E3_Verbraucher!$F18*(E3_Verbraucher!$F21&lt;O$42)+E3_Verbraucher!$F18*(E3_Verbraucher!$F21=O$42)*E3_Verbraucher!$F20</f>
        <v>30</v>
      </c>
      <c r="P47" s="21">
        <f>E3_Verbraucher!$F18*(E3_Verbraucher!$F21&lt;P$42)+E3_Verbraucher!$F18*(E3_Verbraucher!$F21=P$42)*E3_Verbraucher!$F20</f>
        <v>30</v>
      </c>
      <c r="Q47" s="21">
        <f>E3_Verbraucher!$F18*(E3_Verbraucher!$F21&lt;Q$42)+E3_Verbraucher!$F18*(E3_Verbraucher!$F21=Q$42)*E3_Verbraucher!$F20</f>
        <v>30</v>
      </c>
      <c r="R47" s="21">
        <f>E3_Verbraucher!$F18*(E3_Verbraucher!$F21&lt;R$42)+E3_Verbraucher!$F18*(E3_Verbraucher!$F21=R$42)*E3_Verbraucher!$F20</f>
        <v>30</v>
      </c>
      <c r="S47" s="21">
        <f>E3_Verbraucher!$F18*(E3_Verbraucher!$F21&lt;S$42)+E3_Verbraucher!$F18*(E3_Verbraucher!$F21=S$42)*E3_Verbraucher!$F20</f>
        <v>30</v>
      </c>
    </row>
    <row r="48" spans="1:19" x14ac:dyDescent="0.2">
      <c r="B48" s="32" t="str">
        <f t="shared" si="2"/>
        <v>Kunde 4</v>
      </c>
      <c r="C48" s="33" t="s">
        <v>126</v>
      </c>
      <c r="D48" s="21">
        <f>E3_Verbraucher!$G18*(E3_Verbraucher!$G21&lt;D$42)+E3_Verbraucher!$G18*(E3_Verbraucher!$G21=D$42)*E3_Verbraucher!$G20</f>
        <v>0</v>
      </c>
      <c r="E48" s="21">
        <f>E3_Verbraucher!$G18*(E3_Verbraucher!$G21&lt;E$42)+E3_Verbraucher!$G18*(E3_Verbraucher!$G21=E$42)*E3_Verbraucher!$G20</f>
        <v>0</v>
      </c>
      <c r="F48" s="21">
        <f>E3_Verbraucher!$G18*(E3_Verbraucher!$G21&lt;F$42)+E3_Verbraucher!$G18*(E3_Verbraucher!$G21=F$42)*E3_Verbraucher!$G20</f>
        <v>0</v>
      </c>
      <c r="G48" s="21">
        <f>E3_Verbraucher!$G18*(E3_Verbraucher!$G21&lt;G$42)+E3_Verbraucher!$G18*(E3_Verbraucher!$G21=G$42)*E3_Verbraucher!$G20</f>
        <v>20</v>
      </c>
      <c r="H48" s="21">
        <f>E3_Verbraucher!$G18*(E3_Verbraucher!$G21&lt;H$42)+E3_Verbraucher!$G18*(E3_Verbraucher!$G21=H$42)*E3_Verbraucher!$G20</f>
        <v>20</v>
      </c>
      <c r="I48" s="21">
        <f>E3_Verbraucher!$G18*(E3_Verbraucher!$G21&lt;I$42)+E3_Verbraucher!$G18*(E3_Verbraucher!$G21=I$42)*E3_Verbraucher!$G20</f>
        <v>20</v>
      </c>
      <c r="J48" s="21">
        <f>E3_Verbraucher!$G18*(E3_Verbraucher!$G21&lt;J$42)+E3_Verbraucher!$G18*(E3_Verbraucher!$G21=J$42)*E3_Verbraucher!$G20</f>
        <v>20</v>
      </c>
      <c r="K48" s="21">
        <f>E3_Verbraucher!$G18*(E3_Verbraucher!$G21&lt;K$42)+E3_Verbraucher!$G18*(E3_Verbraucher!$G21=K$42)*E3_Verbraucher!$G20</f>
        <v>20</v>
      </c>
      <c r="L48" s="21">
        <f>E3_Verbraucher!$G18*(E3_Verbraucher!$G21&lt;L$42)+E3_Verbraucher!$G18*(E3_Verbraucher!$G21=L$42)*E3_Verbraucher!$G20</f>
        <v>20</v>
      </c>
      <c r="M48" s="21">
        <f>E3_Verbraucher!$G18*(E3_Verbraucher!$G21&lt;M$42)+E3_Verbraucher!$G18*(E3_Verbraucher!$G21=M$42)*E3_Verbraucher!$G20</f>
        <v>20</v>
      </c>
      <c r="N48" s="21">
        <f>E3_Verbraucher!$G18*(E3_Verbraucher!$G21&lt;N$42)+E3_Verbraucher!$G18*(E3_Verbraucher!$G21=N$42)*E3_Verbraucher!$G20</f>
        <v>20</v>
      </c>
      <c r="O48" s="21">
        <f>E3_Verbraucher!$G18*(E3_Verbraucher!$G21&lt;O$42)+E3_Verbraucher!$G18*(E3_Verbraucher!$G21=O$42)*E3_Verbraucher!$G20</f>
        <v>20</v>
      </c>
      <c r="P48" s="21">
        <f>E3_Verbraucher!$G18*(E3_Verbraucher!$G21&lt;P$42)+E3_Verbraucher!$G18*(E3_Verbraucher!$G21=P$42)*E3_Verbraucher!$G20</f>
        <v>20</v>
      </c>
      <c r="Q48" s="21">
        <f>E3_Verbraucher!$G18*(E3_Verbraucher!$G21&lt;Q$42)+E3_Verbraucher!$G18*(E3_Verbraucher!$G21=Q$42)*E3_Verbraucher!$G20</f>
        <v>20</v>
      </c>
      <c r="R48" s="21">
        <f>E3_Verbraucher!$G18*(E3_Verbraucher!$G21&lt;R$42)+E3_Verbraucher!$G18*(E3_Verbraucher!$G21=R$42)*E3_Verbraucher!$G20</f>
        <v>20</v>
      </c>
      <c r="S48" s="21">
        <f>E3_Verbraucher!$G18*(E3_Verbraucher!$G21&lt;S$42)+E3_Verbraucher!$G18*(E3_Verbraucher!$G21=S$42)*E3_Verbraucher!$G20</f>
        <v>20</v>
      </c>
    </row>
    <row r="49" spans="1:23" x14ac:dyDescent="0.2">
      <c r="B49" s="32" t="str">
        <f t="shared" si="2"/>
        <v>Kunde 5</v>
      </c>
      <c r="C49" s="33" t="s">
        <v>126</v>
      </c>
      <c r="D49" s="21">
        <f>E3_Verbraucher!$H18*(E3_Verbraucher!$H21&lt;D$42)+E3_Verbraucher!$H18*(E3_Verbraucher!$H21=D$42)*E3_Verbraucher!$H20</f>
        <v>0</v>
      </c>
      <c r="E49" s="21">
        <f>E3_Verbraucher!$H18*(E3_Verbraucher!$H21&lt;E$42)+E3_Verbraucher!$H18*(E3_Verbraucher!$H21=E$42)*E3_Verbraucher!$H20</f>
        <v>15</v>
      </c>
      <c r="F49" s="21">
        <f>E3_Verbraucher!$H18*(E3_Verbraucher!$H21&lt;F$42)+E3_Verbraucher!$H18*(E3_Verbraucher!$H21=F$42)*E3_Verbraucher!$H20</f>
        <v>30</v>
      </c>
      <c r="G49" s="21">
        <f>E3_Verbraucher!$H18*(E3_Verbraucher!$H21&lt;G$42)+E3_Verbraucher!$H18*(E3_Verbraucher!$H21=G$42)*E3_Verbraucher!$H20</f>
        <v>30</v>
      </c>
      <c r="H49" s="21">
        <f>E3_Verbraucher!$H18*(E3_Verbraucher!$H21&lt;H$42)+E3_Verbraucher!$H18*(E3_Verbraucher!$H21=H$42)*E3_Verbraucher!$H20</f>
        <v>30</v>
      </c>
      <c r="I49" s="21">
        <f>E3_Verbraucher!$H18*(E3_Verbraucher!$H21&lt;I$42)+E3_Verbraucher!$H18*(E3_Verbraucher!$H21=I$42)*E3_Verbraucher!$H20</f>
        <v>30</v>
      </c>
      <c r="J49" s="21">
        <f>E3_Verbraucher!$H18*(E3_Verbraucher!$H21&lt;J$42)+E3_Verbraucher!$H18*(E3_Verbraucher!$H21=J$42)*E3_Verbraucher!$H20</f>
        <v>30</v>
      </c>
      <c r="K49" s="21">
        <f>E3_Verbraucher!$H18*(E3_Verbraucher!$H21&lt;K$42)+E3_Verbraucher!$H18*(E3_Verbraucher!$H21=K$42)*E3_Verbraucher!$H20</f>
        <v>30</v>
      </c>
      <c r="L49" s="21">
        <f>E3_Verbraucher!$H18*(E3_Verbraucher!$H21&lt;L$42)+E3_Verbraucher!$H18*(E3_Verbraucher!$H21=L$42)*E3_Verbraucher!$H20</f>
        <v>30</v>
      </c>
      <c r="M49" s="21">
        <f>E3_Verbraucher!$H18*(E3_Verbraucher!$H21&lt;M$42)+E3_Verbraucher!$H18*(E3_Verbraucher!$H21=M$42)*E3_Verbraucher!$H20</f>
        <v>30</v>
      </c>
      <c r="N49" s="21">
        <f>E3_Verbraucher!$H18*(E3_Verbraucher!$H21&lt;N$42)+E3_Verbraucher!$H18*(E3_Verbraucher!$H21=N$42)*E3_Verbraucher!$H20</f>
        <v>30</v>
      </c>
      <c r="O49" s="21">
        <f>E3_Verbraucher!$H18*(E3_Verbraucher!$H21&lt;O$42)+E3_Verbraucher!$H18*(E3_Verbraucher!$H21=O$42)*E3_Verbraucher!$H20</f>
        <v>30</v>
      </c>
      <c r="P49" s="21">
        <f>E3_Verbraucher!$H18*(E3_Verbraucher!$H21&lt;P$42)+E3_Verbraucher!$H18*(E3_Verbraucher!$H21=P$42)*E3_Verbraucher!$H20</f>
        <v>30</v>
      </c>
      <c r="Q49" s="21">
        <f>E3_Verbraucher!$H18*(E3_Verbraucher!$H21&lt;Q$42)+E3_Verbraucher!$H18*(E3_Verbraucher!$H21=Q$42)*E3_Verbraucher!$H20</f>
        <v>30</v>
      </c>
      <c r="R49" s="21">
        <f>E3_Verbraucher!$H18*(E3_Verbraucher!$H21&lt;R$42)+E3_Verbraucher!$H18*(E3_Verbraucher!$H21=R$42)*E3_Verbraucher!$H20</f>
        <v>30</v>
      </c>
      <c r="S49" s="21">
        <f>E3_Verbraucher!$H18*(E3_Verbraucher!$H21&lt;S$42)+E3_Verbraucher!$H18*(E3_Verbraucher!$H21=S$42)*E3_Verbraucher!$H20</f>
        <v>30</v>
      </c>
    </row>
    <row r="50" spans="1:23" x14ac:dyDescent="0.2">
      <c r="B50" s="32" t="str">
        <f t="shared" si="2"/>
        <v>Kunde 6</v>
      </c>
      <c r="C50" s="33" t="s">
        <v>126</v>
      </c>
      <c r="D50" s="21">
        <f>E3_Verbraucher!$I18*(E3_Verbraucher!$I21&lt;D$42)+E3_Verbraucher!$I18*(E3_Verbraucher!$I21=D$42)*E3_Verbraucher!$I20</f>
        <v>0</v>
      </c>
      <c r="E50" s="21">
        <f>E3_Verbraucher!$I18*(E3_Verbraucher!$I21&lt;E$42)+E3_Verbraucher!$I18*(E3_Verbraucher!$I21=E$42)*E3_Verbraucher!$I20</f>
        <v>600</v>
      </c>
      <c r="F50" s="21">
        <f>E3_Verbraucher!$I18*(E3_Verbraucher!$I21&lt;F$42)+E3_Verbraucher!$I18*(E3_Verbraucher!$I21=F$42)*E3_Verbraucher!$I20</f>
        <v>1500</v>
      </c>
      <c r="G50" s="21">
        <f>E3_Verbraucher!$I18*(E3_Verbraucher!$I21&lt;G$42)+E3_Verbraucher!$I18*(E3_Verbraucher!$I21=G$42)*E3_Verbraucher!$I20</f>
        <v>1500</v>
      </c>
      <c r="H50" s="21">
        <f>E3_Verbraucher!$I18*(E3_Verbraucher!$I21&lt;H$42)+E3_Verbraucher!$I18*(E3_Verbraucher!$I21=H$42)*E3_Verbraucher!$I20</f>
        <v>1500</v>
      </c>
      <c r="I50" s="21">
        <f>E3_Verbraucher!$I18*(E3_Verbraucher!$I21&lt;I$42)+E3_Verbraucher!$I18*(E3_Verbraucher!$I21=I$42)*E3_Verbraucher!$I20</f>
        <v>1500</v>
      </c>
      <c r="J50" s="21">
        <f>E3_Verbraucher!$I18*(E3_Verbraucher!$I21&lt;J$42)+E3_Verbraucher!$I18*(E3_Verbraucher!$I21=J$42)*E3_Verbraucher!$I20</f>
        <v>1500</v>
      </c>
      <c r="K50" s="21">
        <f>E3_Verbraucher!$I18*(E3_Verbraucher!$I21&lt;K$42)+E3_Verbraucher!$I18*(E3_Verbraucher!$I21=K$42)*E3_Verbraucher!$I20</f>
        <v>1500</v>
      </c>
      <c r="L50" s="21">
        <f>E3_Verbraucher!$I18*(E3_Verbraucher!$I21&lt;L$42)+E3_Verbraucher!$I18*(E3_Verbraucher!$I21=L$42)*E3_Verbraucher!$I20</f>
        <v>1500</v>
      </c>
      <c r="M50" s="21">
        <f>E3_Verbraucher!$I18*(E3_Verbraucher!$I21&lt;M$42)+E3_Verbraucher!$I18*(E3_Verbraucher!$I21=M$42)*E3_Verbraucher!$I20</f>
        <v>1500</v>
      </c>
      <c r="N50" s="21">
        <f>E3_Verbraucher!$I18*(E3_Verbraucher!$I21&lt;N$42)+E3_Verbraucher!$I18*(E3_Verbraucher!$I21=N$42)*E3_Verbraucher!$I20</f>
        <v>1500</v>
      </c>
      <c r="O50" s="21">
        <f>E3_Verbraucher!$I18*(E3_Verbraucher!$I21&lt;O$42)+E3_Verbraucher!$I18*(E3_Verbraucher!$I21=O$42)*E3_Verbraucher!$I20</f>
        <v>1500</v>
      </c>
      <c r="P50" s="21">
        <f>E3_Verbraucher!$I18*(E3_Verbraucher!$I21&lt;P$42)+E3_Verbraucher!$I18*(E3_Verbraucher!$I21=P$42)*E3_Verbraucher!$I20</f>
        <v>1500</v>
      </c>
      <c r="Q50" s="21">
        <f>E3_Verbraucher!$I18*(E3_Verbraucher!$I21&lt;Q$42)+E3_Verbraucher!$I18*(E3_Verbraucher!$I21=Q$42)*E3_Verbraucher!$I20</f>
        <v>1500</v>
      </c>
      <c r="R50" s="21">
        <f>E3_Verbraucher!$I18*(E3_Verbraucher!$I21&lt;R$42)+E3_Verbraucher!$I18*(E3_Verbraucher!$I21=R$42)*E3_Verbraucher!$I20</f>
        <v>1500</v>
      </c>
      <c r="S50" s="21">
        <f>E3_Verbraucher!$I18*(E3_Verbraucher!$I21&lt;S$42)+E3_Verbraucher!$I18*(E3_Verbraucher!$I21=S$42)*E3_Verbraucher!$I20</f>
        <v>1500</v>
      </c>
    </row>
    <row r="51" spans="1:23" x14ac:dyDescent="0.2">
      <c r="B51" s="32">
        <f t="shared" si="2"/>
        <v>0</v>
      </c>
      <c r="C51" s="33" t="s">
        <v>126</v>
      </c>
      <c r="D51" s="21">
        <f>E3_Verbraucher!$J18*(E3_Verbraucher!$J21&lt;D$42)+E3_Verbraucher!$J18*(E3_Verbraucher!$J21=D$42)*E3_Verbraucher!$J20</f>
        <v>0</v>
      </c>
      <c r="E51" s="21">
        <f>E3_Verbraucher!$J18*(E3_Verbraucher!$J21&lt;E$42)+E3_Verbraucher!$J18*(E3_Verbraucher!$J21=E$42)*E3_Verbraucher!$J20</f>
        <v>0</v>
      </c>
      <c r="F51" s="21">
        <f>E3_Verbraucher!$J18*(E3_Verbraucher!$J21&lt;F$42)+E3_Verbraucher!$J18*(E3_Verbraucher!$J21=F$42)*E3_Verbraucher!$J20</f>
        <v>0</v>
      </c>
      <c r="G51" s="21">
        <f>E3_Verbraucher!$J18*(E3_Verbraucher!$J21&lt;G$42)+E3_Verbraucher!$J18*(E3_Verbraucher!$J21=G$42)*E3_Verbraucher!$J20</f>
        <v>0</v>
      </c>
      <c r="H51" s="21">
        <f>E3_Verbraucher!$J18*(E3_Verbraucher!$J21&lt;H$42)+E3_Verbraucher!$J18*(E3_Verbraucher!$J21=H$42)*E3_Verbraucher!$J20</f>
        <v>0</v>
      </c>
      <c r="I51" s="21">
        <f>E3_Verbraucher!$J18*(E3_Verbraucher!$J21&lt;I$42)+E3_Verbraucher!$J18*(E3_Verbraucher!$J21=I$42)*E3_Verbraucher!$J20</f>
        <v>0</v>
      </c>
      <c r="J51" s="21">
        <f>E3_Verbraucher!$J18*(E3_Verbraucher!$J21&lt;J$42)+E3_Verbraucher!$J18*(E3_Verbraucher!$J21=J$42)*E3_Verbraucher!$J20</f>
        <v>0</v>
      </c>
      <c r="K51" s="21">
        <f>E3_Verbraucher!$J18*(E3_Verbraucher!$J21&lt;K$42)+E3_Verbraucher!$J18*(E3_Verbraucher!$J21=K$42)*E3_Verbraucher!$J20</f>
        <v>0</v>
      </c>
      <c r="L51" s="21">
        <f>E3_Verbraucher!$J18*(E3_Verbraucher!$J21&lt;L$42)+E3_Verbraucher!$J18*(E3_Verbraucher!$J21=L$42)*E3_Verbraucher!$J20</f>
        <v>0</v>
      </c>
      <c r="M51" s="21">
        <f>E3_Verbraucher!$J18*(E3_Verbraucher!$J21&lt;M$42)+E3_Verbraucher!$J18*(E3_Verbraucher!$J21=M$42)*E3_Verbraucher!$J20</f>
        <v>0</v>
      </c>
      <c r="N51" s="21">
        <f>E3_Verbraucher!$J18*(E3_Verbraucher!$J21&lt;N$42)+E3_Verbraucher!$J18*(E3_Verbraucher!$J21=N$42)*E3_Verbraucher!$J20</f>
        <v>0</v>
      </c>
      <c r="O51" s="21">
        <f>E3_Verbraucher!$J18*(E3_Verbraucher!$J21&lt;O$42)+E3_Verbraucher!$J18*(E3_Verbraucher!$J21=O$42)*E3_Verbraucher!$J20</f>
        <v>0</v>
      </c>
      <c r="P51" s="21">
        <f>E3_Verbraucher!$J18*(E3_Verbraucher!$J21&lt;P$42)+E3_Verbraucher!$J18*(E3_Verbraucher!$J21=P$42)*E3_Verbraucher!$J20</f>
        <v>0</v>
      </c>
      <c r="Q51" s="21">
        <f>E3_Verbraucher!$J18*(E3_Verbraucher!$J21&lt;Q$42)+E3_Verbraucher!$J18*(E3_Verbraucher!$J21=Q$42)*E3_Verbraucher!$J20</f>
        <v>0</v>
      </c>
      <c r="R51" s="21">
        <f>E3_Verbraucher!$J18*(E3_Verbraucher!$J21&lt;R$42)+E3_Verbraucher!$J18*(E3_Verbraucher!$J21=R$42)*E3_Verbraucher!$J20</f>
        <v>0</v>
      </c>
      <c r="S51" s="21">
        <f>E3_Verbraucher!$J18*(E3_Verbraucher!$J21&lt;S$42)+E3_Verbraucher!$J18*(E3_Verbraucher!$J21=S$42)*E3_Verbraucher!$J20</f>
        <v>0</v>
      </c>
    </row>
    <row r="52" spans="1:23" x14ac:dyDescent="0.2">
      <c r="B52" s="32">
        <f t="shared" si="2"/>
        <v>0</v>
      </c>
      <c r="C52" s="33" t="s">
        <v>126</v>
      </c>
      <c r="D52" s="21">
        <f>E3_Verbraucher!$K18*(E3_Verbraucher!$K21&lt;D$42)+E3_Verbraucher!$K18*(E3_Verbraucher!$K21=D$42)*E3_Verbraucher!$K20</f>
        <v>0</v>
      </c>
      <c r="E52" s="21">
        <f>E3_Verbraucher!$K18*(E3_Verbraucher!$K21&lt;E$42)+E3_Verbraucher!$K18*(E3_Verbraucher!$K21=E$42)*E3_Verbraucher!$K20</f>
        <v>0</v>
      </c>
      <c r="F52" s="21">
        <f>E3_Verbraucher!$K18*(E3_Verbraucher!$K21&lt;F$42)+E3_Verbraucher!$K18*(E3_Verbraucher!$K21=F$42)*E3_Verbraucher!$K20</f>
        <v>0</v>
      </c>
      <c r="G52" s="21">
        <f>E3_Verbraucher!$K18*(E3_Verbraucher!$K21&lt;G$42)+E3_Verbraucher!$K18*(E3_Verbraucher!$K21=G$42)*E3_Verbraucher!$K20</f>
        <v>0</v>
      </c>
      <c r="H52" s="21">
        <f>E3_Verbraucher!$K18*(E3_Verbraucher!$K21&lt;H$42)+E3_Verbraucher!$K18*(E3_Verbraucher!$K21=H$42)*E3_Verbraucher!$K20</f>
        <v>0</v>
      </c>
      <c r="I52" s="21">
        <f>E3_Verbraucher!$K18*(E3_Verbraucher!$K21&lt;I$42)+E3_Verbraucher!$K18*(E3_Verbraucher!$K21=I$42)*E3_Verbraucher!$K20</f>
        <v>0</v>
      </c>
      <c r="J52" s="21">
        <f>E3_Verbraucher!$K18*(E3_Verbraucher!$K21&lt;J$42)+E3_Verbraucher!$K18*(E3_Verbraucher!$K21=J$42)*E3_Verbraucher!$K20</f>
        <v>0</v>
      </c>
      <c r="K52" s="21">
        <f>E3_Verbraucher!$K18*(E3_Verbraucher!$K21&lt;K$42)+E3_Verbraucher!$K18*(E3_Verbraucher!$K21=K$42)*E3_Verbraucher!$K20</f>
        <v>0</v>
      </c>
      <c r="L52" s="21">
        <f>E3_Verbraucher!$K18*(E3_Verbraucher!$K21&lt;L$42)+E3_Verbraucher!$K18*(E3_Verbraucher!$K21=L$42)*E3_Verbraucher!$K20</f>
        <v>0</v>
      </c>
      <c r="M52" s="21">
        <f>E3_Verbraucher!$K18*(E3_Verbraucher!$K21&lt;M$42)+E3_Verbraucher!$K18*(E3_Verbraucher!$K21=M$42)*E3_Verbraucher!$K20</f>
        <v>0</v>
      </c>
      <c r="N52" s="21">
        <f>E3_Verbraucher!$K18*(E3_Verbraucher!$K21&lt;N$42)+E3_Verbraucher!$K18*(E3_Verbraucher!$K21=N$42)*E3_Verbraucher!$K20</f>
        <v>0</v>
      </c>
      <c r="O52" s="21">
        <f>E3_Verbraucher!$K18*(E3_Verbraucher!$K21&lt;O$42)+E3_Verbraucher!$K18*(E3_Verbraucher!$K21=O$42)*E3_Verbraucher!$K20</f>
        <v>0</v>
      </c>
      <c r="P52" s="21">
        <f>E3_Verbraucher!$K18*(E3_Verbraucher!$K21&lt;P$42)+E3_Verbraucher!$K18*(E3_Verbraucher!$K21=P$42)*E3_Verbraucher!$K20</f>
        <v>0</v>
      </c>
      <c r="Q52" s="21">
        <f>E3_Verbraucher!$K18*(E3_Verbraucher!$K21&lt;Q$42)+E3_Verbraucher!$K18*(E3_Verbraucher!$K21=Q$42)*E3_Verbraucher!$K20</f>
        <v>0</v>
      </c>
      <c r="R52" s="21">
        <f>E3_Verbraucher!$K18*(E3_Verbraucher!$K21&lt;R$42)+E3_Verbraucher!$K18*(E3_Verbraucher!$K21=R$42)*E3_Verbraucher!$K20</f>
        <v>0</v>
      </c>
      <c r="S52" s="21">
        <f>E3_Verbraucher!$K18*(E3_Verbraucher!$K21&lt;S$42)+E3_Verbraucher!$K18*(E3_Verbraucher!$K21=S$42)*E3_Verbraucher!$K20</f>
        <v>0</v>
      </c>
    </row>
    <row r="53" spans="1:23" x14ac:dyDescent="0.2">
      <c r="B53" s="32">
        <f t="shared" si="2"/>
        <v>0</v>
      </c>
      <c r="C53" s="33" t="s">
        <v>126</v>
      </c>
      <c r="D53" s="21">
        <f>E3_Verbraucher!$L18*(E3_Verbraucher!$L21&lt;D$42)+E3_Verbraucher!$L18*(E3_Verbraucher!$L21=D$42)*E3_Verbraucher!$L20</f>
        <v>0</v>
      </c>
      <c r="E53" s="21">
        <f>E3_Verbraucher!$L18*(E3_Verbraucher!$L21&lt;E$42)+E3_Verbraucher!$L18*(E3_Verbraucher!$L21=E$42)*E3_Verbraucher!$L20</f>
        <v>0</v>
      </c>
      <c r="F53" s="21">
        <f>E3_Verbraucher!$L18*(E3_Verbraucher!$L21&lt;F$42)+E3_Verbraucher!$L18*(E3_Verbraucher!$L21=F$42)*E3_Verbraucher!$L20</f>
        <v>0</v>
      </c>
      <c r="G53" s="21">
        <f>E3_Verbraucher!$L18*(E3_Verbraucher!$L21&lt;G$42)+E3_Verbraucher!$L18*(E3_Verbraucher!$L21=G$42)*E3_Verbraucher!$L20</f>
        <v>0</v>
      </c>
      <c r="H53" s="21">
        <f>E3_Verbraucher!$L18*(E3_Verbraucher!$L21&lt;H$42)+E3_Verbraucher!$L18*(E3_Verbraucher!$L21=H$42)*E3_Verbraucher!$L20</f>
        <v>0</v>
      </c>
      <c r="I53" s="21">
        <f>E3_Verbraucher!$L18*(E3_Verbraucher!$L21&lt;I$42)+E3_Verbraucher!$L18*(E3_Verbraucher!$L21=I$42)*E3_Verbraucher!$L20</f>
        <v>0</v>
      </c>
      <c r="J53" s="21">
        <f>E3_Verbraucher!$L18*(E3_Verbraucher!$L21&lt;J$42)+E3_Verbraucher!$L18*(E3_Verbraucher!$L21=J$42)*E3_Verbraucher!$L20</f>
        <v>0</v>
      </c>
      <c r="K53" s="21">
        <f>E3_Verbraucher!$L18*(E3_Verbraucher!$L21&lt;K$42)+E3_Verbraucher!$L18*(E3_Verbraucher!$L21=K$42)*E3_Verbraucher!$L20</f>
        <v>0</v>
      </c>
      <c r="L53" s="21">
        <f>E3_Verbraucher!$L18*(E3_Verbraucher!$L21&lt;L$42)+E3_Verbraucher!$L18*(E3_Verbraucher!$L21=L$42)*E3_Verbraucher!$L20</f>
        <v>0</v>
      </c>
      <c r="M53" s="21">
        <f>E3_Verbraucher!$L18*(E3_Verbraucher!$L21&lt;M$42)+E3_Verbraucher!$L18*(E3_Verbraucher!$L21=M$42)*E3_Verbraucher!$L20</f>
        <v>0</v>
      </c>
      <c r="N53" s="21">
        <f>E3_Verbraucher!$L18*(E3_Verbraucher!$L21&lt;N$42)+E3_Verbraucher!$L18*(E3_Verbraucher!$L21=N$42)*E3_Verbraucher!$L20</f>
        <v>0</v>
      </c>
      <c r="O53" s="21">
        <f>E3_Verbraucher!$L18*(E3_Verbraucher!$L21&lt;O$42)+E3_Verbraucher!$L18*(E3_Verbraucher!$L21=O$42)*E3_Verbraucher!$L20</f>
        <v>0</v>
      </c>
      <c r="P53" s="21">
        <f>E3_Verbraucher!$L18*(E3_Verbraucher!$L21&lt;P$42)+E3_Verbraucher!$L18*(E3_Verbraucher!$L21=P$42)*E3_Verbraucher!$L20</f>
        <v>0</v>
      </c>
      <c r="Q53" s="21">
        <f>E3_Verbraucher!$L18*(E3_Verbraucher!$L21&lt;Q$42)+E3_Verbraucher!$L18*(E3_Verbraucher!$L21=Q$42)*E3_Verbraucher!$L20</f>
        <v>0</v>
      </c>
      <c r="R53" s="21">
        <f>E3_Verbraucher!$L18*(E3_Verbraucher!$L21&lt;R$42)+E3_Verbraucher!$L18*(E3_Verbraucher!$L21=R$42)*E3_Verbraucher!$L20</f>
        <v>0</v>
      </c>
      <c r="S53" s="21">
        <f>E3_Verbraucher!$L18*(E3_Verbraucher!$L21&lt;S$42)+E3_Verbraucher!$L18*(E3_Verbraucher!$L21=S$42)*E3_Verbraucher!$L20</f>
        <v>0</v>
      </c>
    </row>
    <row r="54" spans="1:23" x14ac:dyDescent="0.2">
      <c r="B54" s="32">
        <f t="shared" si="2"/>
        <v>0</v>
      </c>
      <c r="C54" s="33" t="s">
        <v>126</v>
      </c>
      <c r="D54" s="21">
        <f>E3_Verbraucher!$M18*(E3_Verbraucher!$M21&lt;D$42)+E3_Verbraucher!$M18*(E3_Verbraucher!$M21=D$42)*E3_Verbraucher!$M20</f>
        <v>0</v>
      </c>
      <c r="E54" s="21">
        <f>E3_Verbraucher!$M18*(E3_Verbraucher!$M21&lt;E$42)+E3_Verbraucher!$M18*(E3_Verbraucher!$M21=E$42)*E3_Verbraucher!$M20</f>
        <v>0</v>
      </c>
      <c r="F54" s="21">
        <f>E3_Verbraucher!$M18*(E3_Verbraucher!$M21&lt;F$42)+E3_Verbraucher!$M18*(E3_Verbraucher!$M21=F$42)*E3_Verbraucher!$M20</f>
        <v>0</v>
      </c>
      <c r="G54" s="21">
        <f>E3_Verbraucher!$M18*(E3_Verbraucher!$M21&lt;G$42)+E3_Verbraucher!$M18*(E3_Verbraucher!$M21=G$42)*E3_Verbraucher!$M20</f>
        <v>0</v>
      </c>
      <c r="H54" s="21">
        <f>E3_Verbraucher!$M18*(E3_Verbraucher!$M21&lt;H$42)+E3_Verbraucher!$M18*(E3_Verbraucher!$M21=H$42)*E3_Verbraucher!$M20</f>
        <v>0</v>
      </c>
      <c r="I54" s="21">
        <f>E3_Verbraucher!$M18*(E3_Verbraucher!$M21&lt;I$42)+E3_Verbraucher!$M18*(E3_Verbraucher!$M21=I$42)*E3_Verbraucher!$M20</f>
        <v>0</v>
      </c>
      <c r="J54" s="21">
        <f>E3_Verbraucher!$M18*(E3_Verbraucher!$M21&lt;J$42)+E3_Verbraucher!$M18*(E3_Verbraucher!$M21=J$42)*E3_Verbraucher!$M20</f>
        <v>0</v>
      </c>
      <c r="K54" s="21">
        <f>E3_Verbraucher!$M18*(E3_Verbraucher!$M21&lt;K$42)+E3_Verbraucher!$M18*(E3_Verbraucher!$M21=K$42)*E3_Verbraucher!$M20</f>
        <v>0</v>
      </c>
      <c r="L54" s="21">
        <f>E3_Verbraucher!$M18*(E3_Verbraucher!$M21&lt;L$42)+E3_Verbraucher!$M18*(E3_Verbraucher!$M21=L$42)*E3_Verbraucher!$M20</f>
        <v>0</v>
      </c>
      <c r="M54" s="21">
        <f>E3_Verbraucher!$M18*(E3_Verbraucher!$M21&lt;M$42)+E3_Verbraucher!$M18*(E3_Verbraucher!$M21=M$42)*E3_Verbraucher!$M20</f>
        <v>0</v>
      </c>
      <c r="N54" s="21">
        <f>E3_Verbraucher!$M18*(E3_Verbraucher!$M21&lt;N$42)+E3_Verbraucher!$M18*(E3_Verbraucher!$M21=N$42)*E3_Verbraucher!$M20</f>
        <v>0</v>
      </c>
      <c r="O54" s="21">
        <f>E3_Verbraucher!$M18*(E3_Verbraucher!$M21&lt;O$42)+E3_Verbraucher!$M18*(E3_Verbraucher!$M21=O$42)*E3_Verbraucher!$M20</f>
        <v>0</v>
      </c>
      <c r="P54" s="21">
        <f>E3_Verbraucher!$M18*(E3_Verbraucher!$M21&lt;P$42)+E3_Verbraucher!$M18*(E3_Verbraucher!$M21=P$42)*E3_Verbraucher!$M20</f>
        <v>0</v>
      </c>
      <c r="Q54" s="21">
        <f>E3_Verbraucher!$M18*(E3_Verbraucher!$M21&lt;Q$42)+E3_Verbraucher!$M18*(E3_Verbraucher!$M21=Q$42)*E3_Verbraucher!$M20</f>
        <v>0</v>
      </c>
      <c r="R54" s="21">
        <f>E3_Verbraucher!$M18*(E3_Verbraucher!$M21&lt;R$42)+E3_Verbraucher!$M18*(E3_Verbraucher!$M21=R$42)*E3_Verbraucher!$M20</f>
        <v>0</v>
      </c>
      <c r="S54" s="21">
        <f>E3_Verbraucher!$M18*(E3_Verbraucher!$M21&lt;S$42)+E3_Verbraucher!$M18*(E3_Verbraucher!$M21=S$42)*E3_Verbraucher!$M20</f>
        <v>0</v>
      </c>
    </row>
    <row r="55" spans="1:23" x14ac:dyDescent="0.2">
      <c r="B55" s="32">
        <f t="shared" si="2"/>
        <v>0</v>
      </c>
      <c r="C55" s="33" t="s">
        <v>126</v>
      </c>
      <c r="D55" s="21">
        <f>E3_Verbraucher!$N18*(E3_Verbraucher!$N21&lt;D$42)+E3_Verbraucher!$N18*(E3_Verbraucher!$N21=D$42)*E3_Verbraucher!$N20</f>
        <v>0</v>
      </c>
      <c r="E55" s="21">
        <f>E3_Verbraucher!$N18*(E3_Verbraucher!$N21&lt;E$42)+E3_Verbraucher!$N18*(E3_Verbraucher!$N21=E$42)*E3_Verbraucher!$N20</f>
        <v>0</v>
      </c>
      <c r="F55" s="21">
        <f>E3_Verbraucher!$N18*(E3_Verbraucher!$N21&lt;F$42)+E3_Verbraucher!$N18*(E3_Verbraucher!$N21=F$42)*E3_Verbraucher!$N20</f>
        <v>0</v>
      </c>
      <c r="G55" s="21">
        <f>E3_Verbraucher!$N18*(E3_Verbraucher!$N21&lt;G$42)+E3_Verbraucher!$N18*(E3_Verbraucher!$N21=G$42)*E3_Verbraucher!$N20</f>
        <v>0</v>
      </c>
      <c r="H55" s="21">
        <f>E3_Verbraucher!$N18*(E3_Verbraucher!$N21&lt;H$42)+E3_Verbraucher!$N18*(E3_Verbraucher!$N21=H$42)*E3_Verbraucher!$N20</f>
        <v>0</v>
      </c>
      <c r="I55" s="21">
        <f>E3_Verbraucher!$N18*(E3_Verbraucher!$N21&lt;I$42)+E3_Verbraucher!$N18*(E3_Verbraucher!$N21=I$42)*E3_Verbraucher!$N20</f>
        <v>0</v>
      </c>
      <c r="J55" s="21">
        <f>E3_Verbraucher!$N18*(E3_Verbraucher!$N21&lt;J$42)+E3_Verbraucher!$N18*(E3_Verbraucher!$N21=J$42)*E3_Verbraucher!$N20</f>
        <v>0</v>
      </c>
      <c r="K55" s="21">
        <f>E3_Verbraucher!$N18*(E3_Verbraucher!$N21&lt;K$42)+E3_Verbraucher!$N18*(E3_Verbraucher!$N21=K$42)*E3_Verbraucher!$N20</f>
        <v>0</v>
      </c>
      <c r="L55" s="21">
        <f>E3_Verbraucher!$N18*(E3_Verbraucher!$N21&lt;L$42)+E3_Verbraucher!$N18*(E3_Verbraucher!$N21=L$42)*E3_Verbraucher!$N20</f>
        <v>0</v>
      </c>
      <c r="M55" s="21">
        <f>E3_Verbraucher!$N18*(E3_Verbraucher!$N21&lt;M$42)+E3_Verbraucher!$N18*(E3_Verbraucher!$N21=M$42)*E3_Verbraucher!$N20</f>
        <v>0</v>
      </c>
      <c r="N55" s="21">
        <f>E3_Verbraucher!$N18*(E3_Verbraucher!$N21&lt;N$42)+E3_Verbraucher!$N18*(E3_Verbraucher!$N21=N$42)*E3_Verbraucher!$N20</f>
        <v>0</v>
      </c>
      <c r="O55" s="21">
        <f>E3_Verbraucher!$N18*(E3_Verbraucher!$N21&lt;O$42)+E3_Verbraucher!$N18*(E3_Verbraucher!$N21=O$42)*E3_Verbraucher!$N20</f>
        <v>0</v>
      </c>
      <c r="P55" s="21">
        <f>E3_Verbraucher!$N18*(E3_Verbraucher!$N21&lt;P$42)+E3_Verbraucher!$N18*(E3_Verbraucher!$N21=P$42)*E3_Verbraucher!$N20</f>
        <v>0</v>
      </c>
      <c r="Q55" s="21">
        <f>E3_Verbraucher!$N18*(E3_Verbraucher!$N21&lt;Q$42)+E3_Verbraucher!$N18*(E3_Verbraucher!$N21=Q$42)*E3_Verbraucher!$N20</f>
        <v>0</v>
      </c>
      <c r="R55" s="21">
        <f>E3_Verbraucher!$N18*(E3_Verbraucher!$N21&lt;R$42)+E3_Verbraucher!$N18*(E3_Verbraucher!$N21=R$42)*E3_Verbraucher!$N20</f>
        <v>0</v>
      </c>
      <c r="S55" s="21">
        <f>E3_Verbraucher!$N18*(E3_Verbraucher!$N21&lt;S$42)+E3_Verbraucher!$N18*(E3_Verbraucher!$N21=S$42)*E3_Verbraucher!$N20</f>
        <v>0</v>
      </c>
    </row>
    <row r="56" spans="1:23" x14ac:dyDescent="0.2">
      <c r="B56" s="32">
        <f t="shared" si="2"/>
        <v>0</v>
      </c>
      <c r="C56" s="33" t="s">
        <v>126</v>
      </c>
      <c r="D56" s="21">
        <f>E3_Verbraucher!$O18*(E3_Verbraucher!$O21&lt;D$42)+E3_Verbraucher!$O18*(E3_Verbraucher!$O21=D$42)*E3_Verbraucher!$O20</f>
        <v>0</v>
      </c>
      <c r="E56" s="21">
        <f>E3_Verbraucher!$O18*(E3_Verbraucher!$O21&lt;E$42)+E3_Verbraucher!$O18*(E3_Verbraucher!$O21=E$42)*E3_Verbraucher!$O20</f>
        <v>0</v>
      </c>
      <c r="F56" s="21">
        <f>E3_Verbraucher!$O18*(E3_Verbraucher!$O21&lt;F$42)+E3_Verbraucher!$O18*(E3_Verbraucher!$O21=F$42)*E3_Verbraucher!$O20</f>
        <v>0</v>
      </c>
      <c r="G56" s="21">
        <f>E3_Verbraucher!$O18*(E3_Verbraucher!$O21&lt;G$42)+E3_Verbraucher!$O18*(E3_Verbraucher!$O21=G$42)*E3_Verbraucher!$O20</f>
        <v>0</v>
      </c>
      <c r="H56" s="21">
        <f>E3_Verbraucher!$O18*(E3_Verbraucher!$O21&lt;H$42)+E3_Verbraucher!$O18*(E3_Verbraucher!$O21=H$42)*E3_Verbraucher!$O20</f>
        <v>0</v>
      </c>
      <c r="I56" s="21">
        <f>E3_Verbraucher!$O18*(E3_Verbraucher!$O21&lt;I$42)+E3_Verbraucher!$O18*(E3_Verbraucher!$O21=I$42)*E3_Verbraucher!$O20</f>
        <v>0</v>
      </c>
      <c r="J56" s="21">
        <f>E3_Verbraucher!$O18*(E3_Verbraucher!$O21&lt;J$42)+E3_Verbraucher!$O18*(E3_Verbraucher!$O21=J$42)*E3_Verbraucher!$O20</f>
        <v>0</v>
      </c>
      <c r="K56" s="21">
        <f>E3_Verbraucher!$O18*(E3_Verbraucher!$O21&lt;K$42)+E3_Verbraucher!$O18*(E3_Verbraucher!$O21=K$42)*E3_Verbraucher!$O20</f>
        <v>0</v>
      </c>
      <c r="L56" s="21">
        <f>E3_Verbraucher!$O18*(E3_Verbraucher!$O21&lt;L$42)+E3_Verbraucher!$O18*(E3_Verbraucher!$O21=L$42)*E3_Verbraucher!$O20</f>
        <v>0</v>
      </c>
      <c r="M56" s="21">
        <f>E3_Verbraucher!$O18*(E3_Verbraucher!$O21&lt;M$42)+E3_Verbraucher!$O18*(E3_Verbraucher!$O21=M$42)*E3_Verbraucher!$O20</f>
        <v>0</v>
      </c>
      <c r="N56" s="21">
        <f>E3_Verbraucher!$O18*(E3_Verbraucher!$O21&lt;N$42)+E3_Verbraucher!$O18*(E3_Verbraucher!$O21=N$42)*E3_Verbraucher!$O20</f>
        <v>0</v>
      </c>
      <c r="O56" s="21">
        <f>E3_Verbraucher!$O18*(E3_Verbraucher!$O21&lt;O$42)+E3_Verbraucher!$O18*(E3_Verbraucher!$O21=O$42)*E3_Verbraucher!$O20</f>
        <v>0</v>
      </c>
      <c r="P56" s="21">
        <f>E3_Verbraucher!$O18*(E3_Verbraucher!$O21&lt;P$42)+E3_Verbraucher!$O18*(E3_Verbraucher!$O21=P$42)*E3_Verbraucher!$O20</f>
        <v>0</v>
      </c>
      <c r="Q56" s="21">
        <f>E3_Verbraucher!$O18*(E3_Verbraucher!$O21&lt;Q$42)+E3_Verbraucher!$O18*(E3_Verbraucher!$O21=Q$42)*E3_Verbraucher!$O20</f>
        <v>0</v>
      </c>
      <c r="R56" s="21">
        <f>E3_Verbraucher!$O18*(E3_Verbraucher!$O21&lt;R$42)+E3_Verbraucher!$O18*(E3_Verbraucher!$O21=R$42)*E3_Verbraucher!$O20</f>
        <v>0</v>
      </c>
      <c r="S56" s="21">
        <f>E3_Verbraucher!$O18*(E3_Verbraucher!$O21&lt;S$42)+E3_Verbraucher!$O18*(E3_Verbraucher!$O21=S$42)*E3_Verbraucher!$O20</f>
        <v>0</v>
      </c>
    </row>
    <row r="57" spans="1:23" x14ac:dyDescent="0.2">
      <c r="B57" s="32">
        <f t="shared" si="2"/>
        <v>0</v>
      </c>
      <c r="C57" s="33" t="s">
        <v>126</v>
      </c>
      <c r="D57" s="21">
        <f>E3_Verbraucher!$P18*(E3_Verbraucher!$P21&lt;D$42)+E3_Verbraucher!$P18*(E3_Verbraucher!$P21=D$42)*E3_Verbraucher!$P20</f>
        <v>0</v>
      </c>
      <c r="E57" s="21">
        <f>E3_Verbraucher!$P18*(E3_Verbraucher!$P21&lt;E$42)+E3_Verbraucher!$P18*(E3_Verbraucher!$P21=E$42)*E3_Verbraucher!$P20</f>
        <v>0</v>
      </c>
      <c r="F57" s="21">
        <f>E3_Verbraucher!$P18*(E3_Verbraucher!$P21&lt;F$42)+E3_Verbraucher!$P18*(E3_Verbraucher!$P21=F$42)*E3_Verbraucher!$P20</f>
        <v>0</v>
      </c>
      <c r="G57" s="21">
        <f>E3_Verbraucher!$P18*(E3_Verbraucher!$P21&lt;G$42)+E3_Verbraucher!$P18*(E3_Verbraucher!$P21=G$42)*E3_Verbraucher!$P20</f>
        <v>0</v>
      </c>
      <c r="H57" s="21">
        <f>E3_Verbraucher!$P18*(E3_Verbraucher!$P21&lt;H$42)+E3_Verbraucher!$P18*(E3_Verbraucher!$P21=H$42)*E3_Verbraucher!$P20</f>
        <v>0</v>
      </c>
      <c r="I57" s="21">
        <f>E3_Verbraucher!$P18*(E3_Verbraucher!$P21&lt;I$42)+E3_Verbraucher!$P18*(E3_Verbraucher!$P21=I$42)*E3_Verbraucher!$P20</f>
        <v>0</v>
      </c>
      <c r="J57" s="21">
        <f>E3_Verbraucher!$P18*(E3_Verbraucher!$P21&lt;J$42)+E3_Verbraucher!$P18*(E3_Verbraucher!$P21=J$42)*E3_Verbraucher!$P20</f>
        <v>0</v>
      </c>
      <c r="K57" s="21">
        <f>E3_Verbraucher!$P18*(E3_Verbraucher!$P21&lt;K$42)+E3_Verbraucher!$P18*(E3_Verbraucher!$P21=K$42)*E3_Verbraucher!$P20</f>
        <v>0</v>
      </c>
      <c r="L57" s="21">
        <f>E3_Verbraucher!$P18*(E3_Verbraucher!$P21&lt;L$42)+E3_Verbraucher!$P18*(E3_Verbraucher!$P21=L$42)*E3_Verbraucher!$P20</f>
        <v>0</v>
      </c>
      <c r="M57" s="21">
        <f>E3_Verbraucher!$P18*(E3_Verbraucher!$P21&lt;M$42)+E3_Verbraucher!$P18*(E3_Verbraucher!$P21=M$42)*E3_Verbraucher!$P20</f>
        <v>0</v>
      </c>
      <c r="N57" s="21">
        <f>E3_Verbraucher!$P18*(E3_Verbraucher!$P21&lt;N$42)+E3_Verbraucher!$P18*(E3_Verbraucher!$P21=N$42)*E3_Verbraucher!$P20</f>
        <v>0</v>
      </c>
      <c r="O57" s="21">
        <f>E3_Verbraucher!$P18*(E3_Verbraucher!$P21&lt;O$42)+E3_Verbraucher!$P18*(E3_Verbraucher!$P21=O$42)*E3_Verbraucher!$P20</f>
        <v>0</v>
      </c>
      <c r="P57" s="21">
        <f>E3_Verbraucher!$P18*(E3_Verbraucher!$P21&lt;P$42)+E3_Verbraucher!$P18*(E3_Verbraucher!$P21=P$42)*E3_Verbraucher!$P20</f>
        <v>0</v>
      </c>
      <c r="Q57" s="21">
        <f>E3_Verbraucher!$P18*(E3_Verbraucher!$P21&lt;Q$42)+E3_Verbraucher!$P18*(E3_Verbraucher!$P21=Q$42)*E3_Verbraucher!$P20</f>
        <v>0</v>
      </c>
      <c r="R57" s="21">
        <f>E3_Verbraucher!$P18*(E3_Verbraucher!$P21&lt;R$42)+E3_Verbraucher!$P18*(E3_Verbraucher!$P21=R$42)*E3_Verbraucher!$P20</f>
        <v>0</v>
      </c>
      <c r="S57" s="21">
        <f>E3_Verbraucher!$P18*(E3_Verbraucher!$P21&lt;S$42)+E3_Verbraucher!$P18*(E3_Verbraucher!$P21=S$42)*E3_Verbraucher!$P20</f>
        <v>0</v>
      </c>
    </row>
    <row r="58" spans="1:23" x14ac:dyDescent="0.2">
      <c r="B58" s="32">
        <f t="shared" si="2"/>
        <v>0</v>
      </c>
      <c r="C58" s="33" t="s">
        <v>126</v>
      </c>
      <c r="D58" s="21">
        <f>E3_Verbraucher!$Q18*(E3_Verbraucher!$Q21&lt;D$42)+E3_Verbraucher!$Q18*(E3_Verbraucher!$Q21=D$42)*E3_Verbraucher!$Q20</f>
        <v>0</v>
      </c>
      <c r="E58" s="21">
        <f>E3_Verbraucher!$Q18*(E3_Verbraucher!$Q21&lt;E$42)+E3_Verbraucher!$Q18*(E3_Verbraucher!$Q21=E$42)*E3_Verbraucher!$Q20</f>
        <v>0</v>
      </c>
      <c r="F58" s="21">
        <f>E3_Verbraucher!$Q18*(E3_Verbraucher!$Q21&lt;F$42)+E3_Verbraucher!$Q18*(E3_Verbraucher!$Q21=F$42)*E3_Verbraucher!$Q20</f>
        <v>0</v>
      </c>
      <c r="G58" s="21">
        <f>E3_Verbraucher!$Q18*(E3_Verbraucher!$Q21&lt;G$42)+E3_Verbraucher!$Q18*(E3_Verbraucher!$Q21=G$42)*E3_Verbraucher!$Q20</f>
        <v>0</v>
      </c>
      <c r="H58" s="21">
        <f>E3_Verbraucher!$Q18*(E3_Verbraucher!$Q21&lt;H$42)+E3_Verbraucher!$Q18*(E3_Verbraucher!$Q21=H$42)*E3_Verbraucher!$Q20</f>
        <v>0</v>
      </c>
      <c r="I58" s="21">
        <f>E3_Verbraucher!$Q18*(E3_Verbraucher!$Q21&lt;I$42)+E3_Verbraucher!$Q18*(E3_Verbraucher!$Q21=I$42)*E3_Verbraucher!$Q20</f>
        <v>0</v>
      </c>
      <c r="J58" s="21">
        <f>E3_Verbraucher!$Q18*(E3_Verbraucher!$Q21&lt;J$42)+E3_Verbraucher!$Q18*(E3_Verbraucher!$Q21=J$42)*E3_Verbraucher!$Q20</f>
        <v>0</v>
      </c>
      <c r="K58" s="21">
        <f>E3_Verbraucher!$Q18*(E3_Verbraucher!$Q21&lt;K$42)+E3_Verbraucher!$Q18*(E3_Verbraucher!$Q21=K$42)*E3_Verbraucher!$Q20</f>
        <v>0</v>
      </c>
      <c r="L58" s="21">
        <f>E3_Verbraucher!$Q18*(E3_Verbraucher!$Q21&lt;L$42)+E3_Verbraucher!$Q18*(E3_Verbraucher!$Q21=L$42)*E3_Verbraucher!$Q20</f>
        <v>0</v>
      </c>
      <c r="M58" s="21">
        <f>E3_Verbraucher!$Q18*(E3_Verbraucher!$Q21&lt;M$42)+E3_Verbraucher!$Q18*(E3_Verbraucher!$Q21=M$42)*E3_Verbraucher!$Q20</f>
        <v>0</v>
      </c>
      <c r="N58" s="21">
        <f>E3_Verbraucher!$Q18*(E3_Verbraucher!$Q21&lt;N$42)+E3_Verbraucher!$Q18*(E3_Verbraucher!$Q21=N$42)*E3_Verbraucher!$Q20</f>
        <v>0</v>
      </c>
      <c r="O58" s="21">
        <f>E3_Verbraucher!$Q18*(E3_Verbraucher!$Q21&lt;O$42)+E3_Verbraucher!$Q18*(E3_Verbraucher!$Q21=O$42)*E3_Verbraucher!$Q20</f>
        <v>0</v>
      </c>
      <c r="P58" s="21">
        <f>E3_Verbraucher!$Q18*(E3_Verbraucher!$Q21&lt;P$42)+E3_Verbraucher!$Q18*(E3_Verbraucher!$Q21=P$42)*E3_Verbraucher!$Q20</f>
        <v>0</v>
      </c>
      <c r="Q58" s="21">
        <f>E3_Verbraucher!$Q18*(E3_Verbraucher!$Q21&lt;Q$42)+E3_Verbraucher!$Q18*(E3_Verbraucher!$Q21=Q$42)*E3_Verbraucher!$Q20</f>
        <v>0</v>
      </c>
      <c r="R58" s="21">
        <f>E3_Verbraucher!$Q18*(E3_Verbraucher!$Q21&lt;R$42)+E3_Verbraucher!$Q18*(E3_Verbraucher!$Q21=R$42)*E3_Verbraucher!$Q20</f>
        <v>0</v>
      </c>
      <c r="S58" s="21">
        <f>E3_Verbraucher!$Q18*(E3_Verbraucher!$Q21&lt;S$42)+E3_Verbraucher!$Q18*(E3_Verbraucher!$Q21=S$42)*E3_Verbraucher!$Q20</f>
        <v>0</v>
      </c>
    </row>
    <row r="59" spans="1:23" x14ac:dyDescent="0.2">
      <c r="B59" s="32">
        <f t="shared" si="2"/>
        <v>0</v>
      </c>
      <c r="C59" s="33" t="s">
        <v>126</v>
      </c>
      <c r="D59" s="21">
        <f>E3_Verbraucher!$R18*(E3_Verbraucher!$R21&lt;D$42)+E3_Verbraucher!$R18*(E3_Verbraucher!$R21=D$42)*E3_Verbraucher!$R20</f>
        <v>0</v>
      </c>
      <c r="E59" s="21">
        <f>E3_Verbraucher!$R18*(E3_Verbraucher!$R21&lt;E$42)+E3_Verbraucher!$R18*(E3_Verbraucher!$R21=E$42)*E3_Verbraucher!$R20</f>
        <v>0</v>
      </c>
      <c r="F59" s="21">
        <f>E3_Verbraucher!$R18*(E3_Verbraucher!$R21&lt;F$42)+E3_Verbraucher!$R18*(E3_Verbraucher!$R21=F$42)*E3_Verbraucher!$R20</f>
        <v>0</v>
      </c>
      <c r="G59" s="21">
        <f>E3_Verbraucher!$R18*(E3_Verbraucher!$R21&lt;G$42)+E3_Verbraucher!$R18*(E3_Verbraucher!$R21=G$42)*E3_Verbraucher!$R20</f>
        <v>0</v>
      </c>
      <c r="H59" s="21">
        <f>E3_Verbraucher!$R18*(E3_Verbraucher!$R21&lt;H$42)+E3_Verbraucher!$R18*(E3_Verbraucher!$R21=H$42)*E3_Verbraucher!$R20</f>
        <v>0</v>
      </c>
      <c r="I59" s="21">
        <f>E3_Verbraucher!$R18*(E3_Verbraucher!$R21&lt;I$42)+E3_Verbraucher!$R18*(E3_Verbraucher!$R21=I$42)*E3_Verbraucher!$R20</f>
        <v>0</v>
      </c>
      <c r="J59" s="21">
        <f>E3_Verbraucher!$R18*(E3_Verbraucher!$R21&lt;J$42)+E3_Verbraucher!$R18*(E3_Verbraucher!$R21=J$42)*E3_Verbraucher!$R20</f>
        <v>0</v>
      </c>
      <c r="K59" s="21">
        <f>E3_Verbraucher!$R18*(E3_Verbraucher!$R21&lt;K$42)+E3_Verbraucher!$R18*(E3_Verbraucher!$R21=K$42)*E3_Verbraucher!$R20</f>
        <v>0</v>
      </c>
      <c r="L59" s="21">
        <f>E3_Verbraucher!$R18*(E3_Verbraucher!$R21&lt;L$42)+E3_Verbraucher!$R18*(E3_Verbraucher!$R21=L$42)*E3_Verbraucher!$R20</f>
        <v>0</v>
      </c>
      <c r="M59" s="21">
        <f>E3_Verbraucher!$R18*(E3_Verbraucher!$R21&lt;M$42)+E3_Verbraucher!$R18*(E3_Verbraucher!$R21=M$42)*E3_Verbraucher!$R20</f>
        <v>0</v>
      </c>
      <c r="N59" s="21">
        <f>E3_Verbraucher!$R18*(E3_Verbraucher!$R21&lt;N$42)+E3_Verbraucher!$R18*(E3_Verbraucher!$R21=N$42)*E3_Verbraucher!$R20</f>
        <v>0</v>
      </c>
      <c r="O59" s="21">
        <f>E3_Verbraucher!$R18*(E3_Verbraucher!$R21&lt;O$42)+E3_Verbraucher!$R18*(E3_Verbraucher!$R21=O$42)*E3_Verbraucher!$R20</f>
        <v>0</v>
      </c>
      <c r="P59" s="21">
        <f>E3_Verbraucher!$R18*(E3_Verbraucher!$R21&lt;P$42)+E3_Verbraucher!$R18*(E3_Verbraucher!$R21=P$42)*E3_Verbraucher!$R20</f>
        <v>0</v>
      </c>
      <c r="Q59" s="21">
        <f>E3_Verbraucher!$R18*(E3_Verbraucher!$R21&lt;Q$42)+E3_Verbraucher!$R18*(E3_Verbraucher!$R21=Q$42)*E3_Verbraucher!$R20</f>
        <v>0</v>
      </c>
      <c r="R59" s="21">
        <f>E3_Verbraucher!$R18*(E3_Verbraucher!$R21&lt;R$42)+E3_Verbraucher!$R18*(E3_Verbraucher!$R21=R$42)*E3_Verbraucher!$R20</f>
        <v>0</v>
      </c>
      <c r="S59" s="21">
        <f>E3_Verbraucher!$R18*(E3_Verbraucher!$R21&lt;S$42)+E3_Verbraucher!$R18*(E3_Verbraucher!$R21=S$42)*E3_Verbraucher!$R20</f>
        <v>0</v>
      </c>
    </row>
    <row r="60" spans="1:23" x14ac:dyDescent="0.2">
      <c r="B60" s="29" t="s">
        <v>130</v>
      </c>
      <c r="C60" s="29"/>
      <c r="D60" s="29"/>
      <c r="E60" s="29"/>
      <c r="F60" s="29"/>
      <c r="G60" s="29"/>
      <c r="H60" s="29"/>
      <c r="I60" s="29"/>
      <c r="J60" s="29"/>
      <c r="K60" s="29"/>
      <c r="L60" s="29"/>
      <c r="M60" s="29"/>
      <c r="N60" s="29"/>
      <c r="O60" s="29"/>
      <c r="P60" s="29"/>
      <c r="Q60" s="29"/>
      <c r="R60" s="29"/>
      <c r="S60" s="29"/>
      <c r="T60" s="31"/>
      <c r="U60" s="31"/>
      <c r="V60" s="31"/>
      <c r="W60" s="31"/>
    </row>
    <row r="61" spans="1:23" x14ac:dyDescent="0.2">
      <c r="A61" s="3">
        <v>922</v>
      </c>
      <c r="B61" s="32" t="s">
        <v>129</v>
      </c>
      <c r="C61" s="33" t="s">
        <v>126</v>
      </c>
      <c r="D61" s="21">
        <f>VLOOKUP('A2_NPV-Daten'!D42,B1_Berechnungen!$B$36:$C$60,2)*Eing_Spez_Stromverbrauch/100</f>
        <v>2.7777777777777777</v>
      </c>
      <c r="E61" s="21">
        <f>VLOOKUP('A2_NPV-Daten'!E42,B1_Berechnungen!$B$36:$C$60,2)*Eing_Spez_Stromverbrauch/100</f>
        <v>19.03</v>
      </c>
      <c r="F61" s="21">
        <f>VLOOKUP('A2_NPV-Daten'!F42,B1_Berechnungen!$B$36:$C$60,2)*Eing_Spez_Stromverbrauch/100</f>
        <v>39.530700000000003</v>
      </c>
      <c r="G61" s="21">
        <f>VLOOKUP('A2_NPV-Daten'!G42,B1_Berechnungen!$B$36:$C$60,2)*Eing_Spez_Stromverbrauch/100</f>
        <v>40.321314000000001</v>
      </c>
      <c r="H61" s="21">
        <f>VLOOKUP('A2_NPV-Daten'!H42,B1_Berechnungen!$B$36:$C$60,2)*Eing_Spez_Stromverbrauch/100</f>
        <v>39.918100860000003</v>
      </c>
      <c r="I61" s="21">
        <f>VLOOKUP('A2_NPV-Daten'!I42,B1_Berechnungen!$B$36:$C$60,2)*Eing_Spez_Stromverbrauch/100</f>
        <v>39.5189198514</v>
      </c>
      <c r="J61" s="21">
        <f>VLOOKUP('A2_NPV-Daten'!J42,B1_Berechnungen!$B$36:$C$60,2)*Eing_Spez_Stromverbrauch/100</f>
        <v>39.123730652885996</v>
      </c>
      <c r="K61" s="21">
        <f>VLOOKUP('A2_NPV-Daten'!K42,B1_Berechnungen!$B$36:$C$60,2)*Eing_Spez_Stromverbrauch/100</f>
        <v>38.732493346357138</v>
      </c>
      <c r="L61" s="21">
        <f>VLOOKUP('A2_NPV-Daten'!L42,B1_Berechnungen!$B$36:$C$60,2)*Eing_Spez_Stromverbrauch/100</f>
        <v>38.345168412893564</v>
      </c>
      <c r="M61" s="21">
        <f>VLOOKUP('A2_NPV-Daten'!M42,B1_Berechnungen!$B$36:$C$60,2)*Eing_Spez_Stromverbrauch/100</f>
        <v>37.961716728764628</v>
      </c>
      <c r="N61" s="21">
        <f>VLOOKUP('A2_NPV-Daten'!N42,B1_Berechnungen!$B$36:$C$60,2)*Eing_Spez_Stromverbrauch/100</f>
        <v>37.58209956147698</v>
      </c>
      <c r="O61" s="21">
        <f>VLOOKUP('A2_NPV-Daten'!O42,B1_Berechnungen!$B$36:$C$60,2)*Eing_Spez_Stromverbrauch/100</f>
        <v>37.206278565862213</v>
      </c>
      <c r="P61" s="21">
        <f>VLOOKUP('A2_NPV-Daten'!P42,B1_Berechnungen!$B$36:$C$60,2)*Eing_Spez_Stromverbrauch/100</f>
        <v>36.834215780203593</v>
      </c>
      <c r="Q61" s="21">
        <f>VLOOKUP('A2_NPV-Daten'!Q42,B1_Berechnungen!$B$36:$C$60,2)*Eing_Spez_Stromverbrauch/100</f>
        <v>36.465873622401553</v>
      </c>
      <c r="R61" s="21">
        <f>VLOOKUP('A2_NPV-Daten'!R42,B1_Berechnungen!$B$36:$C$60,2)*Eing_Spez_Stromverbrauch/100</f>
        <v>36.101214886177537</v>
      </c>
      <c r="S61" s="21">
        <f>VLOOKUP('A2_NPV-Daten'!S42,B1_Berechnungen!$B$36:$C$60,2)*Eing_Spez_Stromverbrauch/100</f>
        <v>35.740202737315755</v>
      </c>
    </row>
    <row r="62" spans="1:23" x14ac:dyDescent="0.2">
      <c r="B62" s="34" t="s">
        <v>145</v>
      </c>
      <c r="C62" s="35"/>
      <c r="D62" s="35">
        <f>Eing_Beginnjahr</f>
        <v>2022</v>
      </c>
      <c r="E62" s="35">
        <f>D62+1</f>
        <v>2023</v>
      </c>
      <c r="F62" s="35">
        <f t="shared" ref="F62:U62" si="3">E62+1</f>
        <v>2024</v>
      </c>
      <c r="G62" s="35">
        <f t="shared" si="3"/>
        <v>2025</v>
      </c>
      <c r="H62" s="35">
        <f t="shared" si="3"/>
        <v>2026</v>
      </c>
      <c r="I62" s="35">
        <f t="shared" si="3"/>
        <v>2027</v>
      </c>
      <c r="J62" s="35">
        <f t="shared" si="3"/>
        <v>2028</v>
      </c>
      <c r="K62" s="35">
        <f t="shared" si="3"/>
        <v>2029</v>
      </c>
      <c r="L62" s="35">
        <f t="shared" si="3"/>
        <v>2030</v>
      </c>
      <c r="M62" s="35">
        <f t="shared" si="3"/>
        <v>2031</v>
      </c>
      <c r="N62" s="35">
        <f t="shared" si="3"/>
        <v>2032</v>
      </c>
      <c r="O62" s="35">
        <f t="shared" si="3"/>
        <v>2033</v>
      </c>
      <c r="P62" s="35">
        <f t="shared" si="3"/>
        <v>2034</v>
      </c>
      <c r="Q62" s="35">
        <f t="shared" si="3"/>
        <v>2035</v>
      </c>
      <c r="R62" s="35">
        <f t="shared" si="3"/>
        <v>2036</v>
      </c>
      <c r="S62" s="35">
        <f t="shared" si="3"/>
        <v>2037</v>
      </c>
      <c r="T62" s="35">
        <f t="shared" si="3"/>
        <v>2038</v>
      </c>
      <c r="U62" s="35">
        <f t="shared" si="3"/>
        <v>2039</v>
      </c>
      <c r="V62" s="36">
        <f t="shared" ref="V62" si="4">U62+1</f>
        <v>2040</v>
      </c>
    </row>
    <row r="63" spans="1:23" x14ac:dyDescent="0.2">
      <c r="B63" s="37" t="s">
        <v>111</v>
      </c>
      <c r="C63" s="37"/>
      <c r="D63" s="37"/>
      <c r="E63" s="37"/>
      <c r="F63" s="37"/>
      <c r="G63" s="37"/>
      <c r="H63" s="37"/>
      <c r="I63" s="37"/>
      <c r="J63" s="37"/>
      <c r="K63" s="37"/>
      <c r="L63" s="37"/>
      <c r="M63" s="37"/>
      <c r="N63" s="37"/>
      <c r="O63" s="37"/>
      <c r="P63" s="37"/>
      <c r="Q63" s="37"/>
      <c r="R63" s="37"/>
      <c r="S63" s="37"/>
      <c r="T63" s="37"/>
      <c r="U63" s="37"/>
      <c r="V63" s="36"/>
    </row>
    <row r="64" spans="1:23" x14ac:dyDescent="0.2">
      <c r="B64" s="38" t="s">
        <v>131</v>
      </c>
      <c r="C64" s="39" t="s">
        <v>132</v>
      </c>
      <c r="D64" s="40"/>
      <c r="E64" s="40"/>
      <c r="F64" s="40"/>
      <c r="G64" s="40"/>
      <c r="H64" s="40"/>
      <c r="I64" s="40"/>
      <c r="J64" s="40"/>
      <c r="K64" s="40"/>
      <c r="L64" s="40"/>
      <c r="M64" s="40"/>
      <c r="N64" s="40"/>
      <c r="O64" s="40"/>
      <c r="P64" s="40"/>
      <c r="Q64" s="40"/>
      <c r="R64" s="40"/>
      <c r="S64" s="40"/>
      <c r="T64" s="40"/>
      <c r="U64" s="40"/>
      <c r="V64" s="40"/>
    </row>
    <row r="65" spans="1:22" x14ac:dyDescent="0.2">
      <c r="A65" s="3">
        <v>923</v>
      </c>
      <c r="B65" s="41" t="s">
        <v>133</v>
      </c>
      <c r="C65" s="39" t="s">
        <v>132</v>
      </c>
      <c r="D65" s="21">
        <f>(VLOOKUP('A2_NPV-Daten'!D$62,B1_Berechnungen!$B$36:$Z$60,23)*SUM(E1_Projektdaten!$D$52,E1_Projektdaten!$D$54,E1_Projektdaten!$D$55)/Gesamtinvestition)</f>
        <v>143000</v>
      </c>
      <c r="E65" s="21">
        <f>(VLOOKUP('A2_NPV-Daten'!E$62,B1_Berechnungen!$B$36:$Z$60,23)*SUM(E1_Projektdaten!$D$52,E1_Projektdaten!$D$54,E1_Projektdaten!$D$55)/Gesamtinvestition)</f>
        <v>214500</v>
      </c>
      <c r="F65" s="21">
        <f>(VLOOKUP('A2_NPV-Daten'!F$62,B1_Berechnungen!$B$36:$Z$60,23)*SUM(E1_Projektdaten!$D$52,E1_Projektdaten!$D$54,E1_Projektdaten!$D$55)/Gesamtinvestition)</f>
        <v>357500</v>
      </c>
      <c r="G65" s="21">
        <f>(VLOOKUP('A2_NPV-Daten'!G$62,B1_Berechnungen!$B$36:$Z$60,23)*SUM(E1_Projektdaten!$D$52,E1_Projektdaten!$D$54,E1_Projektdaten!$D$55)/Gesamtinvestition)</f>
        <v>0</v>
      </c>
      <c r="H65" s="21">
        <f>(VLOOKUP('A2_NPV-Daten'!H$62,B1_Berechnungen!$B$36:$Z$60,23)*SUM(E1_Projektdaten!$D$52,E1_Projektdaten!$D$54,E1_Projektdaten!$D$55)/Gesamtinvestition)</f>
        <v>0</v>
      </c>
      <c r="I65" s="21">
        <f>(VLOOKUP('A2_NPV-Daten'!I$62,B1_Berechnungen!$B$36:$Z$60,23)*SUM(E1_Projektdaten!$D$52,E1_Projektdaten!$D$54,E1_Projektdaten!$D$55)/Gesamtinvestition)</f>
        <v>0</v>
      </c>
      <c r="J65" s="21">
        <f>(VLOOKUP('A2_NPV-Daten'!J$62,B1_Berechnungen!$B$36:$Z$60,23)*SUM(E1_Projektdaten!$D$52,E1_Projektdaten!$D$54,E1_Projektdaten!$D$55)/Gesamtinvestition)</f>
        <v>0</v>
      </c>
      <c r="K65" s="21">
        <f>(VLOOKUP('A2_NPV-Daten'!K$62,B1_Berechnungen!$B$36:$Z$60,23)*SUM(E1_Projektdaten!$D$52,E1_Projektdaten!$D$54,E1_Projektdaten!$D$55)/Gesamtinvestition)</f>
        <v>0</v>
      </c>
      <c r="L65" s="21">
        <f>(VLOOKUP('A2_NPV-Daten'!L$62,B1_Berechnungen!$B$36:$Z$60,23)*SUM(E1_Projektdaten!$D$52,E1_Projektdaten!$D$54,E1_Projektdaten!$D$55)/Gesamtinvestition)</f>
        <v>0</v>
      </c>
      <c r="M65" s="21">
        <f>(VLOOKUP('A2_NPV-Daten'!M$62,B1_Berechnungen!$B$36:$Z$60,23)*SUM(E1_Projektdaten!$D$52,E1_Projektdaten!$D$54,E1_Projektdaten!$D$55)/Gesamtinvestition)</f>
        <v>0</v>
      </c>
      <c r="N65" s="21">
        <f>(VLOOKUP('A2_NPV-Daten'!N$62,B1_Berechnungen!$B$36:$Z$60,23)*SUM(E1_Projektdaten!$D$52,E1_Projektdaten!$D$54,E1_Projektdaten!$D$55)/Gesamtinvestition)</f>
        <v>0</v>
      </c>
      <c r="O65" s="21">
        <f>(VLOOKUP('A2_NPV-Daten'!O$62,B1_Berechnungen!$B$36:$Z$60,23)*SUM(E1_Projektdaten!$D$52,E1_Projektdaten!$D$54,E1_Projektdaten!$D$55)/Gesamtinvestition)</f>
        <v>0</v>
      </c>
      <c r="P65" s="21">
        <f>(VLOOKUP('A2_NPV-Daten'!P$62,B1_Berechnungen!$B$36:$Z$60,23)*SUM(E1_Projektdaten!$D$52,E1_Projektdaten!$D$54,E1_Projektdaten!$D$55)/Gesamtinvestition)</f>
        <v>0</v>
      </c>
      <c r="Q65" s="21">
        <f>(VLOOKUP('A2_NPV-Daten'!Q$62,B1_Berechnungen!$B$36:$Z$60,23)*SUM(E1_Projektdaten!$D$52,E1_Projektdaten!$D$54,E1_Projektdaten!$D$55)/Gesamtinvestition)</f>
        <v>0</v>
      </c>
      <c r="R65" s="21">
        <f>(VLOOKUP('A2_NPV-Daten'!R$62,B1_Berechnungen!$B$36:$Z$60,23)*SUM(E1_Projektdaten!$D$52,E1_Projektdaten!$D$54,E1_Projektdaten!$D$55)/Gesamtinvestition)</f>
        <v>0</v>
      </c>
      <c r="S65" s="21">
        <f>(VLOOKUP('A2_NPV-Daten'!S$62,B1_Berechnungen!$B$36:$Z$60,23)*SUM(E1_Projektdaten!$D$52,E1_Projektdaten!$D$54,E1_Projektdaten!$D$55)/Gesamtinvestition)</f>
        <v>0</v>
      </c>
      <c r="T65" s="21">
        <f>(VLOOKUP('A2_NPV-Daten'!T$62,B1_Berechnungen!$B$36:$Z$60,23)*SUM(E1_Projektdaten!$D$52,E1_Projektdaten!$D$54,E1_Projektdaten!$D$55)/Gesamtinvestition)</f>
        <v>0</v>
      </c>
      <c r="U65" s="21">
        <f>(VLOOKUP('A2_NPV-Daten'!U$62,B1_Berechnungen!$B$36:$Z$60,23)*SUM(E1_Projektdaten!$D$52,E1_Projektdaten!$D$54,E1_Projektdaten!$D$55)/Gesamtinvestition)</f>
        <v>10154.040404765125</v>
      </c>
      <c r="V65" s="21">
        <f>(VLOOKUP('A2_NPV-Daten'!V$62,B1_Berechnungen!$B$36:$Z$60,23)*SUM(E1_Projektdaten!$D$52,E1_Projektdaten!$D$54,E1_Projektdaten!$D$55)/Gesamtinvestition)</f>
        <v>0</v>
      </c>
    </row>
    <row r="66" spans="1:22" x14ac:dyDescent="0.2">
      <c r="A66" s="3">
        <v>924</v>
      </c>
      <c r="B66" s="41" t="s">
        <v>134</v>
      </c>
      <c r="C66" s="39" t="s">
        <v>132</v>
      </c>
      <c r="D66" s="21">
        <f>(VLOOKUP('A2_NPV-Daten'!D$62,B1_Berechnungen!$B$36:$Z$60,23)-D65)</f>
        <v>184000</v>
      </c>
      <c r="E66" s="21">
        <f>(VLOOKUP('A2_NPV-Daten'!E$62,B1_Berechnungen!$B$36:$Z$60,23)-E65)</f>
        <v>276000</v>
      </c>
      <c r="F66" s="21">
        <f>(VLOOKUP('A2_NPV-Daten'!F$62,B1_Berechnungen!$B$36:$Z$60,23)-F65)</f>
        <v>460000</v>
      </c>
      <c r="G66" s="21">
        <f>(VLOOKUP('A2_NPV-Daten'!G$62,B1_Berechnungen!$B$36:$Z$60,23)-G65)</f>
        <v>0</v>
      </c>
      <c r="H66" s="21">
        <f>(VLOOKUP('A2_NPV-Daten'!H$62,B1_Berechnungen!$B$36:$Z$60,23)-H65)</f>
        <v>0</v>
      </c>
      <c r="I66" s="21">
        <f>(VLOOKUP('A2_NPV-Daten'!I$62,B1_Berechnungen!$B$36:$Z$60,23)-I65)</f>
        <v>0</v>
      </c>
      <c r="J66" s="21">
        <f>(VLOOKUP('A2_NPV-Daten'!J$62,B1_Berechnungen!$B$36:$Z$60,23)-J65)</f>
        <v>0</v>
      </c>
      <c r="K66" s="21">
        <f>(VLOOKUP('A2_NPV-Daten'!K$62,B1_Berechnungen!$B$36:$Z$60,23)-K65)</f>
        <v>0</v>
      </c>
      <c r="L66" s="21">
        <f>(VLOOKUP('A2_NPV-Daten'!L$62,B1_Berechnungen!$B$36:$Z$60,23)-L65)</f>
        <v>0</v>
      </c>
      <c r="M66" s="21">
        <f>(VLOOKUP('A2_NPV-Daten'!M$62,B1_Berechnungen!$B$36:$Z$60,23)-M65)</f>
        <v>0</v>
      </c>
      <c r="N66" s="21">
        <f>(VLOOKUP('A2_NPV-Daten'!N$62,B1_Berechnungen!$B$36:$Z$60,23)-N65)</f>
        <v>0</v>
      </c>
      <c r="O66" s="21">
        <f>(VLOOKUP('A2_NPV-Daten'!O$62,B1_Berechnungen!$B$36:$Z$60,23)-O65)</f>
        <v>0</v>
      </c>
      <c r="P66" s="21">
        <f>(VLOOKUP('A2_NPV-Daten'!P$62,B1_Berechnungen!$B$36:$Z$60,23)-P65)</f>
        <v>0</v>
      </c>
      <c r="Q66" s="21">
        <f>(VLOOKUP('A2_NPV-Daten'!Q$62,B1_Berechnungen!$B$36:$Z$60,23)-Q65)</f>
        <v>0</v>
      </c>
      <c r="R66" s="21">
        <f>(VLOOKUP('A2_NPV-Daten'!R$62,B1_Berechnungen!$B$36:$Z$60,23)-R65)</f>
        <v>0</v>
      </c>
      <c r="S66" s="21">
        <f>(VLOOKUP('A2_NPV-Daten'!S$62,B1_Berechnungen!$B$36:$Z$60,23)-S65)</f>
        <v>0</v>
      </c>
      <c r="T66" s="21">
        <f>(VLOOKUP('A2_NPV-Daten'!T$62,B1_Berechnungen!$B$36:$Z$60,23)-T65)</f>
        <v>0</v>
      </c>
      <c r="U66" s="21">
        <f>(VLOOKUP('A2_NPV-Daten'!U$62,B1_Berechnungen!$B$36:$Z$60,23)-U65)</f>
        <v>13065.338702634843</v>
      </c>
      <c r="V66" s="21">
        <f>(VLOOKUP('A2_NPV-Daten'!V$62,B1_Berechnungen!$B$36:$Z$60,23)-V65)</f>
        <v>0</v>
      </c>
    </row>
    <row r="67" spans="1:22" x14ac:dyDescent="0.2">
      <c r="B67" s="42" t="s">
        <v>135</v>
      </c>
      <c r="C67" s="39" t="s">
        <v>136</v>
      </c>
      <c r="D67" s="43" t="str">
        <f>IF(D62=E1_Projektdaten!$D$22+15,-VLOOKUP(D62,B1_Berechnungen!$B$36:$AH$60,31),"")</f>
        <v/>
      </c>
      <c r="E67" s="43" t="str">
        <f>IF(E62=E1_Projektdaten!$D$22+15,-VLOOKUP(E62,B1_Berechnungen!$B$36:$AH$60,31),"")</f>
        <v/>
      </c>
      <c r="F67" s="43" t="str">
        <f>IF(F62=E1_Projektdaten!$D$22+15,-VLOOKUP(F62,B1_Berechnungen!$B$36:$AH$60,31),"")</f>
        <v/>
      </c>
      <c r="G67" s="43" t="str">
        <f>IF(G62=E1_Projektdaten!$D$22+15,-VLOOKUP(G62,B1_Berechnungen!$B$36:$AH$60,31),"")</f>
        <v/>
      </c>
      <c r="H67" s="43" t="str">
        <f>IF(H62=E1_Projektdaten!$D$22+15,-VLOOKUP(H62,B1_Berechnungen!$B$36:$AH$60,31),"")</f>
        <v/>
      </c>
      <c r="I67" s="43" t="str">
        <f>IF(I62=E1_Projektdaten!$D$22+15,-VLOOKUP(I62,B1_Berechnungen!$B$36:$AH$60,31),"")</f>
        <v/>
      </c>
      <c r="J67" s="43" t="str">
        <f>IF(J62=E1_Projektdaten!$D$22+15,-VLOOKUP(J62,B1_Berechnungen!$B$36:$AH$60,31),"")</f>
        <v/>
      </c>
      <c r="K67" s="43" t="str">
        <f>IF(K62=E1_Projektdaten!$D$22+15,-VLOOKUP(K62,B1_Berechnungen!$B$36:$AH$60,31),"")</f>
        <v/>
      </c>
      <c r="L67" s="43" t="str">
        <f>IF(L62=E1_Projektdaten!$D$22+15,-VLOOKUP(L62,B1_Berechnungen!$B$36:$AH$60,31),"")</f>
        <v/>
      </c>
      <c r="M67" s="43" t="str">
        <f>IF(M62=E1_Projektdaten!$D$22+15,-VLOOKUP(M62,B1_Berechnungen!$B$36:$AH$60,31),"")</f>
        <v/>
      </c>
      <c r="N67" s="43" t="str">
        <f>IF(N62=E1_Projektdaten!$D$22+15,-VLOOKUP(N62,B1_Berechnungen!$B$36:$AH$60,31),"")</f>
        <v/>
      </c>
      <c r="O67" s="43" t="str">
        <f>IF(O62=E1_Projektdaten!$D$22+15,-VLOOKUP(O62,B1_Berechnungen!$B$36:$AH$60,31),"")</f>
        <v/>
      </c>
      <c r="P67" s="43" t="str">
        <f>IF(P62=E1_Projektdaten!$D$22+15,-VLOOKUP(P62,B1_Berechnungen!$B$36:$AH$60,31),"")</f>
        <v/>
      </c>
      <c r="Q67" s="43" t="str">
        <f>IF(Q62=E1_Projektdaten!$D$22+15,-VLOOKUP(Q62,B1_Berechnungen!$B$36:$AH$60,31),"")</f>
        <v/>
      </c>
      <c r="R67" s="43" t="str">
        <f>IF(R62=E1_Projektdaten!$D$22+15,-VLOOKUP(R62,B1_Berechnungen!$B$36:$AH$60,31),"")</f>
        <v/>
      </c>
      <c r="S67" s="43" t="str">
        <f>IF(S62=E1_Projektdaten!$D$22+15,-VLOOKUP(S62,B1_Berechnungen!$B$36:$AH$60,31),"")</f>
        <v/>
      </c>
      <c r="T67" s="43" t="str">
        <f>IF(T62=E1_Projektdaten!$D$22+15,-VLOOKUP(T62,B1_Berechnungen!$B$36:$AH$60,31),"")</f>
        <v/>
      </c>
      <c r="U67" s="43">
        <f>IF(U62=E1_Projektdaten!$D$22+15,-VLOOKUP(U62,B1_Berechnungen!$B$36:$AH$60,31),"")</f>
        <v>-741671.42050024029</v>
      </c>
      <c r="V67" s="43" t="str">
        <f>IF(V62=E1_Projektdaten!$D$22+15,-VLOOKUP(V62,B1_Berechnungen!$B$36:$AH$60,31),"")</f>
        <v/>
      </c>
    </row>
    <row r="68" spans="1:22" x14ac:dyDescent="0.2">
      <c r="B68" s="42" t="s">
        <v>137</v>
      </c>
      <c r="C68" s="44" t="s">
        <v>132</v>
      </c>
      <c r="D68" s="40"/>
      <c r="E68" s="40"/>
      <c r="F68" s="40"/>
      <c r="G68" s="40"/>
      <c r="H68" s="40"/>
      <c r="I68" s="40"/>
      <c r="J68" s="40"/>
      <c r="K68" s="40"/>
      <c r="L68" s="40"/>
      <c r="M68" s="40"/>
      <c r="N68" s="40"/>
      <c r="O68" s="40"/>
      <c r="P68" s="40"/>
      <c r="Q68" s="40"/>
      <c r="R68" s="40"/>
      <c r="S68" s="40"/>
      <c r="T68" s="40"/>
      <c r="U68" s="40"/>
      <c r="V68" s="40"/>
    </row>
    <row r="69" spans="1:22" x14ac:dyDescent="0.2">
      <c r="A69" s="3">
        <v>925</v>
      </c>
      <c r="B69" s="45" t="s">
        <v>138</v>
      </c>
      <c r="C69" s="44" t="s">
        <v>132</v>
      </c>
      <c r="D69" s="21">
        <f>VLOOKUP('A2_NPV-Daten'!D$62,B1_Berechnungen!$B$36:$N$60,7)+VLOOKUP('A2_NPV-Daten'!D$62,B1_Berechnungen!$B$36:$N$60,8)+VLOOKUP('A2_NPV-Daten'!D$62,B1_Berechnungen!$B$36:$N$60,9)</f>
        <v>17400</v>
      </c>
      <c r="E69" s="21">
        <f>VLOOKUP('A2_NPV-Daten'!E$62,B1_Berechnungen!$B$36:$N$60,7)+VLOOKUP('A2_NPV-Daten'!E$62,B1_Berechnungen!$B$36:$N$60,8)+VLOOKUP('A2_NPV-Daten'!E$62,B1_Berechnungen!$B$36:$N$60,9)</f>
        <v>17574</v>
      </c>
      <c r="F69" s="21">
        <f>VLOOKUP('A2_NPV-Daten'!F$62,B1_Berechnungen!$B$36:$N$60,7)+VLOOKUP('A2_NPV-Daten'!F$62,B1_Berechnungen!$B$36:$N$60,8)+VLOOKUP('A2_NPV-Daten'!F$62,B1_Berechnungen!$B$36:$N$60,9)</f>
        <v>60491.93</v>
      </c>
      <c r="G69" s="21">
        <f>VLOOKUP('A2_NPV-Daten'!G$62,B1_Berechnungen!$B$36:$N$60,7)+VLOOKUP('A2_NPV-Daten'!G$62,B1_Berechnungen!$B$36:$N$60,8)+VLOOKUP('A2_NPV-Daten'!G$62,B1_Berechnungen!$B$36:$N$60,9)</f>
        <v>61096.849299999994</v>
      </c>
      <c r="H69" s="21">
        <f>VLOOKUP('A2_NPV-Daten'!H$62,B1_Berechnungen!$B$36:$N$60,7)+VLOOKUP('A2_NPV-Daten'!H$62,B1_Berechnungen!$B$36:$N$60,8)+VLOOKUP('A2_NPV-Daten'!H$62,B1_Berechnungen!$B$36:$N$60,9)</f>
        <v>61707.817792999995</v>
      </c>
      <c r="I69" s="21">
        <f>VLOOKUP('A2_NPV-Daten'!I$62,B1_Berechnungen!$B$36:$N$60,7)+VLOOKUP('A2_NPV-Daten'!I$62,B1_Berechnungen!$B$36:$N$60,8)+VLOOKUP('A2_NPV-Daten'!I$62,B1_Berechnungen!$B$36:$N$60,9)</f>
        <v>62324.895970929996</v>
      </c>
      <c r="J69" s="21">
        <f>VLOOKUP('A2_NPV-Daten'!J$62,B1_Berechnungen!$B$36:$N$60,7)+VLOOKUP('A2_NPV-Daten'!J$62,B1_Berechnungen!$B$36:$N$60,8)+VLOOKUP('A2_NPV-Daten'!J$62,B1_Berechnungen!$B$36:$N$60,9)</f>
        <v>62948.144930639304</v>
      </c>
      <c r="K69" s="21">
        <f>VLOOKUP('A2_NPV-Daten'!K$62,B1_Berechnungen!$B$36:$N$60,7)+VLOOKUP('A2_NPV-Daten'!K$62,B1_Berechnungen!$B$36:$N$60,8)+VLOOKUP('A2_NPV-Daten'!K$62,B1_Berechnungen!$B$36:$N$60,9)</f>
        <v>63577.626379945679</v>
      </c>
      <c r="L69" s="21">
        <f>VLOOKUP('A2_NPV-Daten'!L$62,B1_Berechnungen!$B$36:$N$60,7)+VLOOKUP('A2_NPV-Daten'!L$62,B1_Berechnungen!$B$36:$N$60,8)+VLOOKUP('A2_NPV-Daten'!L$62,B1_Berechnungen!$B$36:$N$60,9)</f>
        <v>64213.402643745154</v>
      </c>
      <c r="M69" s="21">
        <f>VLOOKUP('A2_NPV-Daten'!M$62,B1_Berechnungen!$B$36:$N$60,7)+VLOOKUP('A2_NPV-Daten'!M$62,B1_Berechnungen!$B$36:$N$60,8)+VLOOKUP('A2_NPV-Daten'!M$62,B1_Berechnungen!$B$36:$N$60,9)</f>
        <v>64855.536670182621</v>
      </c>
      <c r="N69" s="21">
        <f>VLOOKUP('A2_NPV-Daten'!N$62,B1_Berechnungen!$B$36:$N$60,7)+VLOOKUP('A2_NPV-Daten'!N$62,B1_Berechnungen!$B$36:$N$60,8)+VLOOKUP('A2_NPV-Daten'!N$62,B1_Berechnungen!$B$36:$N$60,9)</f>
        <v>65504.092036884438</v>
      </c>
      <c r="O69" s="21">
        <f>VLOOKUP('A2_NPV-Daten'!O$62,B1_Berechnungen!$B$36:$N$60,7)+VLOOKUP('A2_NPV-Daten'!O$62,B1_Berechnungen!$B$36:$N$60,8)+VLOOKUP('A2_NPV-Daten'!O$62,B1_Berechnungen!$B$36:$N$60,9)</f>
        <v>66159.13295725327</v>
      </c>
      <c r="P69" s="21">
        <f>VLOOKUP('A2_NPV-Daten'!P$62,B1_Berechnungen!$B$36:$N$60,7)+VLOOKUP('A2_NPV-Daten'!P$62,B1_Berechnungen!$B$36:$N$60,8)+VLOOKUP('A2_NPV-Daten'!P$62,B1_Berechnungen!$B$36:$N$60,9)</f>
        <v>66820.724286825804</v>
      </c>
      <c r="Q69" s="21">
        <f>VLOOKUP('A2_NPV-Daten'!Q$62,B1_Berechnungen!$B$36:$N$60,7)+VLOOKUP('A2_NPV-Daten'!Q$62,B1_Berechnungen!$B$36:$N$60,8)+VLOOKUP('A2_NPV-Daten'!Q$62,B1_Berechnungen!$B$36:$N$60,9)</f>
        <v>67488.931529694062</v>
      </c>
      <c r="R69" s="21">
        <f>VLOOKUP('A2_NPV-Daten'!R$62,B1_Berechnungen!$B$36:$N$60,7)+VLOOKUP('A2_NPV-Daten'!R$62,B1_Berechnungen!$B$36:$N$60,8)+VLOOKUP('A2_NPV-Daten'!R$62,B1_Berechnungen!$B$36:$N$60,9)</f>
        <v>68163.820844991016</v>
      </c>
      <c r="S69" s="21">
        <f>VLOOKUP('A2_NPV-Daten'!S$62,B1_Berechnungen!$B$36:$N$60,7)+VLOOKUP('A2_NPV-Daten'!S$62,B1_Berechnungen!$B$36:$N$60,8)+VLOOKUP('A2_NPV-Daten'!S$62,B1_Berechnungen!$B$36:$N$60,9)</f>
        <v>68845.459053440907</v>
      </c>
      <c r="T69" s="21">
        <f>VLOOKUP('A2_NPV-Daten'!T$62,B1_Berechnungen!$B$36:$N$60,7)+VLOOKUP('A2_NPV-Daten'!T$62,B1_Berechnungen!$B$36:$N$60,8)+VLOOKUP('A2_NPV-Daten'!T$62,B1_Berechnungen!$B$36:$N$60,9)</f>
        <v>69533.913643975335</v>
      </c>
      <c r="U69" s="21">
        <f>VLOOKUP('A2_NPV-Daten'!U$62,B1_Berechnungen!$B$36:$N$60,7)+VLOOKUP('A2_NPV-Daten'!U$62,B1_Berechnungen!$B$36:$N$60,8)+VLOOKUP('A2_NPV-Daten'!U$62,B1_Berechnungen!$B$36:$N$60,9)</f>
        <v>70229.252780415103</v>
      </c>
      <c r="V69" s="21">
        <f>VLOOKUP('A2_NPV-Daten'!V$62,B1_Berechnungen!$B$36:$N$60,7)+VLOOKUP('A2_NPV-Daten'!V$62,B1_Berechnungen!$B$36:$N$60,8)+VLOOKUP('A2_NPV-Daten'!V$62,B1_Berechnungen!$B$36:$N$60,9)</f>
        <v>70931.545308219254</v>
      </c>
    </row>
    <row r="70" spans="1:22" x14ac:dyDescent="0.2">
      <c r="A70" s="3">
        <v>926</v>
      </c>
      <c r="B70" s="46" t="s">
        <v>139</v>
      </c>
      <c r="C70" s="47" t="s">
        <v>132</v>
      </c>
      <c r="D70" s="21">
        <f>VLOOKUP('A2_NPV-Daten'!D$62,B1_Berechnungen!$B$36:$N$60,4)+VLOOKUP('A2_NPV-Daten'!D$62,B1_Berechnungen!$B$36:$N$60,5)+VLOOKUP('A2_NPV-Daten'!D$62,B1_Berechnungen!$B$36:$N$60,6)</f>
        <v>0</v>
      </c>
      <c r="E70" s="21">
        <f>VLOOKUP('A2_NPV-Daten'!E$62,B1_Berechnungen!$B$36:$N$60,4)+VLOOKUP('A2_NPV-Daten'!E$62,B1_Berechnungen!$B$36:$N$60,5)+VLOOKUP('A2_NPV-Daten'!E$62,B1_Berechnungen!$B$36:$N$60,6)</f>
        <v>0</v>
      </c>
      <c r="F70" s="21">
        <f>VLOOKUP('A2_NPV-Daten'!F$62,B1_Berechnungen!$B$36:$N$60,4)+VLOOKUP('A2_NPV-Daten'!F$62,B1_Berechnungen!$B$36:$N$60,5)+VLOOKUP('A2_NPV-Daten'!F$62,B1_Berechnungen!$B$36:$N$60,6)</f>
        <v>9173.8159722222226</v>
      </c>
      <c r="G70" s="21">
        <f>VLOOKUP('A2_NPV-Daten'!G$62,B1_Berechnungen!$B$36:$N$60,4)+VLOOKUP('A2_NPV-Daten'!G$62,B1_Berechnungen!$B$36:$N$60,5)+VLOOKUP('A2_NPV-Daten'!G$62,B1_Berechnungen!$B$36:$N$60,6)</f>
        <v>63476.458247125003</v>
      </c>
      <c r="H70" s="21">
        <f>VLOOKUP('A2_NPV-Daten'!H$62,B1_Berechnungen!$B$36:$N$60,4)+VLOOKUP('A2_NPV-Daten'!H$62,B1_Berechnungen!$B$36:$N$60,5)+VLOOKUP('A2_NPV-Daten'!H$62,B1_Berechnungen!$B$36:$N$60,6)</f>
        <v>133177.16848712141</v>
      </c>
      <c r="I70" s="21">
        <f>VLOOKUP('A2_NPV-Daten'!I$62,B1_Berechnungen!$B$36:$N$60,4)+VLOOKUP('A2_NPV-Daten'!I$62,B1_Berechnungen!$B$36:$N$60,5)+VLOOKUP('A2_NPV-Daten'!I$62,B1_Berechnungen!$B$36:$N$60,6)</f>
        <v>137199.1189754325</v>
      </c>
      <c r="J70" s="21">
        <f>VLOOKUP('A2_NPV-Daten'!J$62,B1_Berechnungen!$B$36:$N$60,4)+VLOOKUP('A2_NPV-Daten'!J$62,B1_Berechnungen!$B$36:$N$60,5)+VLOOKUP('A2_NPV-Daten'!J$62,B1_Berechnungen!$B$36:$N$60,6)</f>
        <v>137185.39906353498</v>
      </c>
      <c r="K70" s="21">
        <f>VLOOKUP('A2_NPV-Daten'!K$62,B1_Berechnungen!$B$36:$N$60,4)+VLOOKUP('A2_NPV-Daten'!K$62,B1_Berechnungen!$B$36:$N$60,5)+VLOOKUP('A2_NPV-Daten'!K$62,B1_Berechnungen!$B$36:$N$60,6)</f>
        <v>137171.68052362857</v>
      </c>
      <c r="L70" s="21">
        <f>VLOOKUP('A2_NPV-Daten'!L$62,B1_Berechnungen!$B$36:$N$60,4)+VLOOKUP('A2_NPV-Daten'!L$62,B1_Berechnungen!$B$36:$N$60,5)+VLOOKUP('A2_NPV-Daten'!L$62,B1_Berechnungen!$B$36:$N$60,6)</f>
        <v>137157.96335557621</v>
      </c>
      <c r="M70" s="21">
        <f>VLOOKUP('A2_NPV-Daten'!M$62,B1_Berechnungen!$B$36:$N$60,4)+VLOOKUP('A2_NPV-Daten'!M$62,B1_Berechnungen!$B$36:$N$60,5)+VLOOKUP('A2_NPV-Daten'!M$62,B1_Berechnungen!$B$36:$N$60,6)</f>
        <v>137144.2475592407</v>
      </c>
      <c r="N70" s="21">
        <f>VLOOKUP('A2_NPV-Daten'!N$62,B1_Berechnungen!$B$36:$N$60,4)+VLOOKUP('A2_NPV-Daten'!N$62,B1_Berechnungen!$B$36:$N$60,5)+VLOOKUP('A2_NPV-Daten'!N$62,B1_Berechnungen!$B$36:$N$60,6)</f>
        <v>137130.53313448475</v>
      </c>
      <c r="O70" s="21">
        <f>VLOOKUP('A2_NPV-Daten'!O$62,B1_Berechnungen!$B$36:$N$60,4)+VLOOKUP('A2_NPV-Daten'!O$62,B1_Berechnungen!$B$36:$N$60,5)+VLOOKUP('A2_NPV-Daten'!O$62,B1_Berechnungen!$B$36:$N$60,6)</f>
        <v>137116.82008117129</v>
      </c>
      <c r="P70" s="21">
        <f>VLOOKUP('A2_NPV-Daten'!P$62,B1_Berechnungen!$B$36:$N$60,4)+VLOOKUP('A2_NPV-Daten'!P$62,B1_Berechnungen!$B$36:$N$60,5)+VLOOKUP('A2_NPV-Daten'!P$62,B1_Berechnungen!$B$36:$N$60,6)</f>
        <v>137103.10839916315</v>
      </c>
      <c r="Q70" s="21">
        <f>VLOOKUP('A2_NPV-Daten'!Q$62,B1_Berechnungen!$B$36:$N$60,4)+VLOOKUP('A2_NPV-Daten'!Q$62,B1_Berechnungen!$B$36:$N$60,5)+VLOOKUP('A2_NPV-Daten'!Q$62,B1_Berechnungen!$B$36:$N$60,6)</f>
        <v>137089.39808832327</v>
      </c>
      <c r="R70" s="21">
        <f>VLOOKUP('A2_NPV-Daten'!R$62,B1_Berechnungen!$B$36:$N$60,4)+VLOOKUP('A2_NPV-Daten'!R$62,B1_Berechnungen!$B$36:$N$60,5)+VLOOKUP('A2_NPV-Daten'!R$62,B1_Berechnungen!$B$36:$N$60,6)</f>
        <v>137075.68914851444</v>
      </c>
      <c r="S70" s="21">
        <f>VLOOKUP('A2_NPV-Daten'!S$62,B1_Berechnungen!$B$36:$N$60,4)+VLOOKUP('A2_NPV-Daten'!S$62,B1_Berechnungen!$B$36:$N$60,5)+VLOOKUP('A2_NPV-Daten'!S$62,B1_Berechnungen!$B$36:$N$60,6)</f>
        <v>137061.98157959955</v>
      </c>
      <c r="T70" s="21">
        <f>VLOOKUP('A2_NPV-Daten'!T$62,B1_Berechnungen!$B$36:$N$60,4)+VLOOKUP('A2_NPV-Daten'!T$62,B1_Berechnungen!$B$36:$N$60,5)+VLOOKUP('A2_NPV-Daten'!T$62,B1_Berechnungen!$B$36:$N$60,6)</f>
        <v>137048.27538144164</v>
      </c>
      <c r="U70" s="21">
        <f>VLOOKUP('A2_NPV-Daten'!U$62,B1_Berechnungen!$B$36:$N$60,4)+VLOOKUP('A2_NPV-Daten'!U$62,B1_Berechnungen!$B$36:$N$60,5)+VLOOKUP('A2_NPV-Daten'!U$62,B1_Berechnungen!$B$36:$N$60,6)</f>
        <v>137034.5705539035</v>
      </c>
      <c r="V70" s="21">
        <f>VLOOKUP('A2_NPV-Daten'!V$62,B1_Berechnungen!$B$36:$N$60,4)+VLOOKUP('A2_NPV-Daten'!V$62,B1_Berechnungen!$B$36:$N$60,5)+VLOOKUP('A2_NPV-Daten'!V$62,B1_Berechnungen!$B$36:$N$60,6)</f>
        <v>137020.86709684812</v>
      </c>
    </row>
    <row r="71" spans="1:22" x14ac:dyDescent="0.2">
      <c r="B71" s="48" t="s">
        <v>140</v>
      </c>
      <c r="C71" s="39" t="s">
        <v>132</v>
      </c>
      <c r="D71" s="40"/>
      <c r="E71" s="40"/>
      <c r="F71" s="40"/>
      <c r="G71" s="40"/>
      <c r="H71" s="40"/>
      <c r="I71" s="40"/>
      <c r="J71" s="40"/>
      <c r="K71" s="40"/>
      <c r="L71" s="40"/>
      <c r="M71" s="40"/>
      <c r="N71" s="40"/>
      <c r="O71" s="40"/>
      <c r="P71" s="40"/>
      <c r="Q71" s="40"/>
      <c r="R71" s="40"/>
      <c r="S71" s="40"/>
      <c r="T71" s="40"/>
      <c r="U71" s="40"/>
      <c r="V71" s="40"/>
    </row>
    <row r="72" spans="1:22" x14ac:dyDescent="0.2">
      <c r="B72" s="39"/>
      <c r="C72" s="39"/>
      <c r="D72" s="49"/>
      <c r="E72" s="49"/>
      <c r="F72" s="49"/>
      <c r="G72" s="49"/>
      <c r="H72" s="49"/>
      <c r="I72" s="49"/>
      <c r="J72" s="49"/>
      <c r="K72" s="49"/>
      <c r="L72" s="49"/>
      <c r="M72" s="49"/>
      <c r="N72" s="49"/>
      <c r="O72" s="49"/>
      <c r="P72" s="49"/>
      <c r="Q72" s="49"/>
      <c r="R72" s="49"/>
      <c r="S72" s="49"/>
      <c r="T72" s="49"/>
      <c r="U72" s="49"/>
      <c r="V72" s="49"/>
    </row>
    <row r="73" spans="1:22" x14ac:dyDescent="0.2">
      <c r="B73" s="37" t="s">
        <v>141</v>
      </c>
      <c r="C73" s="37"/>
      <c r="D73" s="37"/>
      <c r="E73" s="37"/>
      <c r="F73" s="37"/>
      <c r="G73" s="37"/>
      <c r="H73" s="37"/>
      <c r="I73" s="37"/>
      <c r="J73" s="37"/>
      <c r="K73" s="37"/>
      <c r="L73" s="37"/>
      <c r="M73" s="37"/>
      <c r="N73" s="37"/>
      <c r="O73" s="37"/>
      <c r="P73" s="37"/>
      <c r="Q73" s="37"/>
      <c r="R73" s="37"/>
      <c r="S73" s="37"/>
      <c r="T73" s="37"/>
      <c r="U73" s="37"/>
      <c r="V73" s="37"/>
    </row>
    <row r="74" spans="1:22" x14ac:dyDescent="0.2">
      <c r="A74" s="3">
        <v>927</v>
      </c>
      <c r="B74" s="44" t="s">
        <v>142</v>
      </c>
      <c r="C74" s="44" t="s">
        <v>132</v>
      </c>
      <c r="D74" s="21">
        <f>VLOOKUP('A2_NPV-Daten'!D$62,B1_Berechnungen!$B$36:$T$60,16)</f>
        <v>0</v>
      </c>
      <c r="E74" s="21">
        <f>VLOOKUP('A2_NPV-Daten'!E$62,B1_Berechnungen!$B$36:$T$60,16)</f>
        <v>0</v>
      </c>
      <c r="F74" s="21">
        <f>VLOOKUP('A2_NPV-Daten'!F$62,B1_Berechnungen!$B$36:$T$60,16)</f>
        <v>80000</v>
      </c>
      <c r="G74" s="21">
        <f>VLOOKUP('A2_NPV-Daten'!G$62,B1_Berechnungen!$B$36:$T$60,16)</f>
        <v>520000</v>
      </c>
      <c r="H74" s="21">
        <f>VLOOKUP('A2_NPV-Daten'!H$62,B1_Berechnungen!$B$36:$T$60,16)</f>
        <v>50000</v>
      </c>
      <c r="I74" s="21">
        <f>VLOOKUP('A2_NPV-Daten'!I$62,B1_Berechnungen!$B$36:$T$60,16)</f>
        <v>0</v>
      </c>
      <c r="J74" s="21">
        <f>VLOOKUP('A2_NPV-Daten'!J$62,B1_Berechnungen!$B$36:$T$60,16)</f>
        <v>0</v>
      </c>
      <c r="K74" s="21">
        <f>VLOOKUP('A2_NPV-Daten'!K$62,B1_Berechnungen!$B$36:$T$60,16)</f>
        <v>0</v>
      </c>
      <c r="L74" s="21">
        <f>VLOOKUP('A2_NPV-Daten'!L$62,B1_Berechnungen!$B$36:$T$60,16)</f>
        <v>0</v>
      </c>
      <c r="M74" s="21">
        <f>VLOOKUP('A2_NPV-Daten'!M$62,B1_Berechnungen!$B$36:$T$60,16)</f>
        <v>0</v>
      </c>
      <c r="N74" s="21">
        <f>VLOOKUP('A2_NPV-Daten'!N$62,B1_Berechnungen!$B$36:$T$60,16)</f>
        <v>0</v>
      </c>
      <c r="O74" s="21">
        <f>VLOOKUP('A2_NPV-Daten'!O$62,B1_Berechnungen!$B$36:$T$60,16)</f>
        <v>0</v>
      </c>
      <c r="P74" s="21">
        <f>VLOOKUP('A2_NPV-Daten'!P$62,B1_Berechnungen!$B$36:$T$60,16)</f>
        <v>0</v>
      </c>
      <c r="Q74" s="21">
        <f>VLOOKUP('A2_NPV-Daten'!Q$62,B1_Berechnungen!$B$36:$T$60,16)</f>
        <v>0</v>
      </c>
      <c r="R74" s="21">
        <f>VLOOKUP('A2_NPV-Daten'!R$62,B1_Berechnungen!$B$36:$T$60,16)</f>
        <v>0</v>
      </c>
      <c r="S74" s="21">
        <f>VLOOKUP('A2_NPV-Daten'!S$62,B1_Berechnungen!$B$36:$T$60,16)</f>
        <v>0</v>
      </c>
      <c r="T74" s="21">
        <f>VLOOKUP('A2_NPV-Daten'!T$62,B1_Berechnungen!$B$36:$T$60,16)</f>
        <v>0</v>
      </c>
      <c r="U74" s="21">
        <f>VLOOKUP('A2_NPV-Daten'!U$62,B1_Berechnungen!$B$36:$T$60,16)</f>
        <v>0</v>
      </c>
      <c r="V74" s="21">
        <f>VLOOKUP('A2_NPV-Daten'!V$62,B1_Berechnungen!$B$36:$T$60,16)</f>
        <v>0</v>
      </c>
    </row>
    <row r="75" spans="1:22" x14ac:dyDescent="0.2">
      <c r="A75" s="3">
        <v>928</v>
      </c>
      <c r="B75" s="50" t="s">
        <v>143</v>
      </c>
      <c r="C75" s="39" t="s">
        <v>132</v>
      </c>
      <c r="D75" s="21">
        <f>VLOOKUP('A2_NPV-Daten'!D$62,B1_Berechnungen!$B$36:$T$60,15)</f>
        <v>0</v>
      </c>
      <c r="E75" s="21">
        <f>VLOOKUP('A2_NPV-Daten'!E$62,B1_Berechnungen!$B$36:$T$60,15)</f>
        <v>0</v>
      </c>
      <c r="F75" s="21">
        <f>VLOOKUP('A2_NPV-Daten'!F$62,B1_Berechnungen!$B$36:$T$60,15)</f>
        <v>19000.637624999999</v>
      </c>
      <c r="G75" s="21">
        <f>VLOOKUP('A2_NPV-Daten'!G$62,B1_Berechnungen!$B$36:$T$60,15)</f>
        <v>131395.17619491351</v>
      </c>
      <c r="H75" s="21">
        <f>VLOOKUP('A2_NPV-Daten'!H$62,B1_Berechnungen!$B$36:$T$60,15)</f>
        <v>277084.93450852402</v>
      </c>
      <c r="I75" s="21">
        <f>VLOOKUP('A2_NPV-Daten'!I$62,B1_Berechnungen!$B$36:$T$60,15)</f>
        <v>287856.0340102351</v>
      </c>
      <c r="J75" s="21">
        <f>VLOOKUP('A2_NPV-Daten'!J$62,B1_Berechnungen!$B$36:$T$60,15)</f>
        <v>288846.83851148636</v>
      </c>
      <c r="K75" s="21">
        <f>VLOOKUP('A2_NPV-Daten'!K$62,B1_Berechnungen!$B$36:$T$60,15)</f>
        <v>289847.739833334</v>
      </c>
      <c r="L75" s="21">
        <f>VLOOKUP('A2_NPV-Daten'!L$62,B1_Berechnungen!$B$36:$T$60,15)</f>
        <v>290858.83892510645</v>
      </c>
      <c r="M75" s="21">
        <f>VLOOKUP('A2_NPV-Daten'!M$62,B1_Berechnungen!$B$36:$T$60,15)</f>
        <v>291880.2377456273</v>
      </c>
      <c r="N75" s="21">
        <f>VLOOKUP('A2_NPV-Daten'!N$62,B1_Berechnungen!$B$36:$T$60,15)</f>
        <v>292912.03927331022</v>
      </c>
      <c r="O75" s="21">
        <f>VLOOKUP('A2_NPV-Daten'!O$62,B1_Berechnungen!$B$36:$T$60,15)</f>
        <v>293954.34751635487</v>
      </c>
      <c r="P75" s="21">
        <f>VLOOKUP('A2_NPV-Daten'!P$62,B1_Berechnungen!$B$36:$T$60,15)</f>
        <v>295007.26752304501</v>
      </c>
      <c r="Q75" s="21">
        <f>VLOOKUP('A2_NPV-Daten'!Q$62,B1_Berechnungen!$B$36:$T$60,15)</f>
        <v>296070.90539214888</v>
      </c>
      <c r="R75" s="21">
        <f>VLOOKUP('A2_NPV-Daten'!R$62,B1_Berechnungen!$B$36:$T$60,15)</f>
        <v>297145.36828342447</v>
      </c>
      <c r="S75" s="21">
        <f>VLOOKUP('A2_NPV-Daten'!S$62,B1_Berechnungen!$B$36:$T$60,15)</f>
        <v>298230.76442822895</v>
      </c>
      <c r="T75" s="21">
        <f>VLOOKUP('A2_NPV-Daten'!T$62,B1_Berechnungen!$B$36:$T$60,15)</f>
        <v>299327.20314023539</v>
      </c>
      <c r="U75" s="21">
        <f>VLOOKUP('A2_NPV-Daten'!U$62,B1_Berechnungen!$B$36:$T$60,15)</f>
        <v>300434.79482625506</v>
      </c>
      <c r="V75" s="21">
        <f>VLOOKUP('A2_NPV-Daten'!V$62,B1_Berechnungen!$B$36:$T$60,15)</f>
        <v>301553.65099716949</v>
      </c>
    </row>
    <row r="76" spans="1:22" x14ac:dyDescent="0.2">
      <c r="A76" s="3">
        <v>929</v>
      </c>
      <c r="B76" s="39" t="s">
        <v>144</v>
      </c>
      <c r="C76" s="39" t="s">
        <v>132</v>
      </c>
      <c r="D76" s="21">
        <f>((D62=E1_Projektdaten!$D$77)*E1_Projektdaten!$D$76+(D62=E1_Projektdaten!$D$79)*E1_Projektdaten!$D$78)*('A2_NPV-Daten'!D62&gt;0)</f>
        <v>0</v>
      </c>
      <c r="E76" s="21">
        <f>((E62=E1_Projektdaten!$D$77)*E1_Projektdaten!$D$76+(E62=E1_Projektdaten!$D$79)*E1_Projektdaten!$D$78)*('A2_NPV-Daten'!E62&gt;0)</f>
        <v>0</v>
      </c>
      <c r="F76" s="21">
        <f>((F62=E1_Projektdaten!$D$77)*E1_Projektdaten!$D$76+(F62=E1_Projektdaten!$D$79)*E1_Projektdaten!$D$78)*('A2_NPV-Daten'!F62&gt;0)</f>
        <v>159000</v>
      </c>
      <c r="G76" s="21">
        <f>((G62=E1_Projektdaten!$D$77)*E1_Projektdaten!$D$76+(G62=E1_Projektdaten!$D$79)*E1_Projektdaten!$D$78)*('A2_NPV-Daten'!G62&gt;0)</f>
        <v>50000</v>
      </c>
      <c r="H76" s="21">
        <f>((H62=E1_Projektdaten!$D$77)*E1_Projektdaten!$D$76+(H62=E1_Projektdaten!$D$79)*E1_Projektdaten!$D$78)*('A2_NPV-Daten'!H62&gt;0)</f>
        <v>0</v>
      </c>
      <c r="I76" s="21">
        <f>((I62=E1_Projektdaten!$D$77)*E1_Projektdaten!$D$76+(I62=E1_Projektdaten!$D$79)*E1_Projektdaten!$D$78)*('A2_NPV-Daten'!I62&gt;0)</f>
        <v>0</v>
      </c>
      <c r="J76" s="21">
        <f>((J62=E1_Projektdaten!$D$77)*E1_Projektdaten!$D$76+(J62=E1_Projektdaten!$D$79)*E1_Projektdaten!$D$78)*('A2_NPV-Daten'!J62&gt;0)</f>
        <v>0</v>
      </c>
      <c r="K76" s="21">
        <f>((K62=E1_Projektdaten!$D$77)*E1_Projektdaten!$D$76+(K62=E1_Projektdaten!$D$79)*E1_Projektdaten!$D$78)*('A2_NPV-Daten'!K62&gt;0)</f>
        <v>0</v>
      </c>
      <c r="L76" s="21">
        <f>((L62=E1_Projektdaten!$D$77)*E1_Projektdaten!$D$76+(L62=E1_Projektdaten!$D$79)*E1_Projektdaten!$D$78)*('A2_NPV-Daten'!L62&gt;0)</f>
        <v>0</v>
      </c>
      <c r="M76" s="21">
        <f>((M62=E1_Projektdaten!$D$77)*E1_Projektdaten!$D$76+(M62=E1_Projektdaten!$D$79)*E1_Projektdaten!$D$78)*('A2_NPV-Daten'!M62&gt;0)</f>
        <v>0</v>
      </c>
      <c r="N76" s="21">
        <f>((N62=E1_Projektdaten!$D$77)*E1_Projektdaten!$D$76+(N62=E1_Projektdaten!$D$79)*E1_Projektdaten!$D$78)*('A2_NPV-Daten'!N62&gt;0)</f>
        <v>0</v>
      </c>
      <c r="O76" s="21">
        <f>((O62=E1_Projektdaten!$D$77)*E1_Projektdaten!$D$76+(O62=E1_Projektdaten!$D$79)*E1_Projektdaten!$D$78)*('A2_NPV-Daten'!O62&gt;0)</f>
        <v>0</v>
      </c>
      <c r="P76" s="21">
        <f>((P62=E1_Projektdaten!$D$77)*E1_Projektdaten!$D$76+(P62=E1_Projektdaten!$D$79)*E1_Projektdaten!$D$78)*('A2_NPV-Daten'!P62&gt;0)</f>
        <v>0</v>
      </c>
      <c r="Q76" s="21">
        <f>((Q62=E1_Projektdaten!$D$77)*E1_Projektdaten!$D$76+(Q62=E1_Projektdaten!$D$79)*E1_Projektdaten!$D$78)*('A2_NPV-Daten'!Q62&gt;0)</f>
        <v>0</v>
      </c>
      <c r="R76" s="21">
        <f>((R62=E1_Projektdaten!$D$77)*E1_Projektdaten!$D$76+(R62=E1_Projektdaten!$D$79)*E1_Projektdaten!$D$78)*('A2_NPV-Daten'!R62&gt;0)</f>
        <v>0</v>
      </c>
      <c r="S76" s="21">
        <f>((S62=E1_Projektdaten!$D$77)*E1_Projektdaten!$D$76+(S62=E1_Projektdaten!$D$79)*E1_Projektdaten!$D$78)*('A2_NPV-Daten'!S62&gt;0)</f>
        <v>0</v>
      </c>
      <c r="T76" s="21">
        <f>((T62=E1_Projektdaten!$D$77)*E1_Projektdaten!$D$76+(T62=E1_Projektdaten!$D$79)*E1_Projektdaten!$D$78)*('A2_NPV-Daten'!T62&gt;0)</f>
        <v>0</v>
      </c>
      <c r="U76" s="21">
        <f>((U62=E1_Projektdaten!$D$77)*E1_Projektdaten!$D$76+(U62=E1_Projektdaten!$D$79)*E1_Projektdaten!$D$78)*('A2_NPV-Daten'!U62&gt;0)</f>
        <v>0</v>
      </c>
      <c r="V76" s="21">
        <f>((V62=E1_Projektdaten!$D$77)*E1_Projektdaten!$D$76+(V62=E1_Projektdaten!$D$79)*E1_Projektdaten!$D$78)*('A2_NPV-Daten'!V62&gt;0)</f>
        <v>0</v>
      </c>
    </row>
    <row r="77" spans="1:22" x14ac:dyDescent="0.2"/>
    <row r="78" spans="1:22" x14ac:dyDescent="0.2">
      <c r="A78" s="3">
        <v>930</v>
      </c>
      <c r="B78" s="51" t="s">
        <v>277</v>
      </c>
    </row>
    <row r="79" spans="1:22" x14ac:dyDescent="0.2">
      <c r="A79" s="3">
        <v>561</v>
      </c>
      <c r="B79" s="13" t="s">
        <v>115</v>
      </c>
      <c r="C79" s="39" t="s">
        <v>132</v>
      </c>
      <c r="D79" s="52">
        <f>VLOOKUP('A2_NPV-Daten'!D$62,B1_Berechnungen!$B$36:$T$60,10)</f>
        <v>0</v>
      </c>
      <c r="E79" s="52">
        <f>VLOOKUP('A2_NPV-Daten'!E$62,B1_Berechnungen!$B$36:$T$60,10)</f>
        <v>0</v>
      </c>
      <c r="F79" s="52">
        <f>VLOOKUP('A2_NPV-Daten'!F$62,B1_Berechnungen!$B$36:$T$60,10)</f>
        <v>0</v>
      </c>
      <c r="G79" s="52">
        <f>VLOOKUP('A2_NPV-Daten'!G$62,B1_Berechnungen!$B$36:$T$60,10)</f>
        <v>0</v>
      </c>
      <c r="H79" s="52">
        <f>VLOOKUP('A2_NPV-Daten'!H$62,B1_Berechnungen!$B$36:$T$60,10)</f>
        <v>0</v>
      </c>
      <c r="I79" s="52">
        <f>VLOOKUP('A2_NPV-Daten'!I$62,B1_Berechnungen!$B$36:$T$60,10)</f>
        <v>0</v>
      </c>
      <c r="J79" s="52">
        <f>VLOOKUP('A2_NPV-Daten'!J$62,B1_Berechnungen!$B$36:$T$60,10)</f>
        <v>0</v>
      </c>
      <c r="K79" s="52">
        <f>VLOOKUP('A2_NPV-Daten'!K$62,B1_Berechnungen!$B$36:$T$60,10)</f>
        <v>0</v>
      </c>
      <c r="L79" s="52">
        <f>VLOOKUP('A2_NPV-Daten'!L$62,B1_Berechnungen!$B$36:$T$60,10)</f>
        <v>0</v>
      </c>
      <c r="M79" s="52">
        <f>VLOOKUP('A2_NPV-Daten'!M$62,B1_Berechnungen!$B$36:$T$60,10)</f>
        <v>0</v>
      </c>
      <c r="N79" s="52">
        <f>VLOOKUP('A2_NPV-Daten'!N$62,B1_Berechnungen!$B$36:$T$60,10)</f>
        <v>0</v>
      </c>
      <c r="O79" s="52">
        <f>VLOOKUP('A2_NPV-Daten'!O$62,B1_Berechnungen!$B$36:$T$60,10)</f>
        <v>0</v>
      </c>
      <c r="P79" s="52">
        <f>VLOOKUP('A2_NPV-Daten'!P$62,B1_Berechnungen!$B$36:$T$60,10)</f>
        <v>0</v>
      </c>
      <c r="Q79" s="52">
        <f>VLOOKUP('A2_NPV-Daten'!Q$62,B1_Berechnungen!$B$36:$T$60,10)</f>
        <v>0</v>
      </c>
      <c r="R79" s="52">
        <f>VLOOKUP('A2_NPV-Daten'!R$62,B1_Berechnungen!$B$36:$T$60,10)</f>
        <v>0</v>
      </c>
      <c r="S79" s="52">
        <f>VLOOKUP('A2_NPV-Daten'!S$62,B1_Berechnungen!$B$36:$T$60,10)</f>
        <v>0</v>
      </c>
      <c r="T79" s="52">
        <f>VLOOKUP('A2_NPV-Daten'!T$62,B1_Berechnungen!$B$36:$T$60,10)</f>
        <v>0</v>
      </c>
      <c r="U79" s="52">
        <f>VLOOKUP('A2_NPV-Daten'!U$62,B1_Berechnungen!$B$36:$T$60,10)</f>
        <v>0</v>
      </c>
    </row>
    <row r="80" spans="1:22" x14ac:dyDescent="0.2">
      <c r="A80" s="3">
        <v>574</v>
      </c>
      <c r="B80" s="13" t="s">
        <v>117</v>
      </c>
      <c r="C80" s="39" t="s">
        <v>132</v>
      </c>
      <c r="D80" s="52">
        <f>VLOOKUP('A2_NPV-Daten'!D$62,B1_Berechnungen!$B$36:$T$60,18)</f>
        <v>0</v>
      </c>
      <c r="E80" s="52">
        <f>VLOOKUP('A2_NPV-Daten'!E$62,B1_Berechnungen!$B$36:$T$60,18)</f>
        <v>0</v>
      </c>
      <c r="F80" s="52">
        <f>VLOOKUP('A2_NPV-Daten'!F$62,B1_Berechnungen!$B$36:$T$60,18)</f>
        <v>0</v>
      </c>
      <c r="G80" s="52">
        <f>VLOOKUP('A2_NPV-Daten'!G$62,B1_Berechnungen!$B$36:$T$60,18)</f>
        <v>0</v>
      </c>
      <c r="H80" s="52">
        <f>VLOOKUP('A2_NPV-Daten'!H$62,B1_Berechnungen!$B$36:$T$60,18)</f>
        <v>0</v>
      </c>
      <c r="I80" s="52">
        <f>VLOOKUP('A2_NPV-Daten'!I$62,B1_Berechnungen!$B$36:$T$60,18)</f>
        <v>0</v>
      </c>
      <c r="J80" s="52">
        <f>VLOOKUP('A2_NPV-Daten'!J$62,B1_Berechnungen!$B$36:$T$60,18)</f>
        <v>0</v>
      </c>
      <c r="K80" s="52">
        <f>VLOOKUP('A2_NPV-Daten'!K$62,B1_Berechnungen!$B$36:$T$60,18)</f>
        <v>0</v>
      </c>
      <c r="L80" s="52">
        <f>VLOOKUP('A2_NPV-Daten'!L$62,B1_Berechnungen!$B$36:$T$60,18)</f>
        <v>0</v>
      </c>
      <c r="M80" s="52">
        <f>VLOOKUP('A2_NPV-Daten'!M$62,B1_Berechnungen!$B$36:$T$60,18)</f>
        <v>0</v>
      </c>
      <c r="N80" s="52">
        <f>VLOOKUP('A2_NPV-Daten'!N$62,B1_Berechnungen!$B$36:$T$60,18)</f>
        <v>0</v>
      </c>
      <c r="O80" s="52">
        <f>VLOOKUP('A2_NPV-Daten'!O$62,B1_Berechnungen!$B$36:$T$60,18)</f>
        <v>0</v>
      </c>
      <c r="P80" s="52">
        <f>VLOOKUP('A2_NPV-Daten'!P$62,B1_Berechnungen!$B$36:$T$60,18)</f>
        <v>0</v>
      </c>
      <c r="Q80" s="52">
        <f>VLOOKUP('A2_NPV-Daten'!Q$62,B1_Berechnungen!$B$36:$T$60,18)</f>
        <v>0</v>
      </c>
      <c r="R80" s="52">
        <f>VLOOKUP('A2_NPV-Daten'!R$62,B1_Berechnungen!$B$36:$T$60,18)</f>
        <v>0</v>
      </c>
      <c r="S80" s="52">
        <f>VLOOKUP('A2_NPV-Daten'!S$62,B1_Berechnungen!$B$36:$T$60,18)</f>
        <v>0</v>
      </c>
      <c r="T80" s="52">
        <f>VLOOKUP('A2_NPV-Daten'!T$62,B1_Berechnungen!$B$36:$T$60,18)</f>
        <v>0</v>
      </c>
      <c r="U80" s="52">
        <f>VLOOKUP('A2_NPV-Daten'!U$62,B1_Berechnungen!$B$36:$T$60,18)</f>
        <v>0</v>
      </c>
    </row>
    <row r="1048576" ht="12.75" hidden="1" customHeight="1" x14ac:dyDescent="0.2"/>
  </sheetData>
  <sheetProtection algorithmName="SHA-512" hashValue="N1oXtQkURsDUNesF8oUXyKymiCnlxEwoKqsqWkugm5FHcB7Hs5+HSwwM/DipGhZuJxXqLhN6/MHXAVjxsUQ+mg==" saltValue="oNgaKNzvmfJy0psieDI7CA==" spinCount="100000" sheet="1" objects="1" scenarios="1"/>
  <mergeCells count="4">
    <mergeCell ref="C7:C8"/>
    <mergeCell ref="D7:D8"/>
    <mergeCell ref="E7:E8"/>
    <mergeCell ref="F7:F8"/>
  </mergeCells>
  <conditionalFormatting sqref="T62:V76">
    <cfRule type="expression" dxfId="1" priority="2">
      <formula>T$62&gt;$S$42</formula>
    </cfRule>
  </conditionalFormatting>
  <conditionalFormatting sqref="D79:U80">
    <cfRule type="cellIs" dxfId="0" priority="1" operator="greaterThan">
      <formula>0</formula>
    </cfRule>
  </conditionalFormatting>
  <hyperlinks>
    <hyperlink ref="A1" location="I1_900" display="I1_900" xr:uid="{00000000-0004-0000-0600-000000000000}"/>
    <hyperlink ref="A3" location="I1_104" display="I1_104" xr:uid="{00000000-0004-0000-0600-000001000000}"/>
    <hyperlink ref="A5" location="I1_910" display="I1_910" xr:uid="{00000000-0004-0000-0600-000002000000}"/>
    <hyperlink ref="A6" location="I1_911" display="I1_911" xr:uid="{00000000-0004-0000-0600-000003000000}"/>
    <hyperlink ref="A25" location="I1_912" display="I1_912" xr:uid="{00000000-0004-0000-0600-000004000000}"/>
    <hyperlink ref="A42" location="I1_920" display="I1_920" xr:uid="{00000000-0004-0000-0600-000005000000}"/>
    <hyperlink ref="A44" location="I1_921" display="I1_921" xr:uid="{00000000-0004-0000-0600-000006000000}"/>
    <hyperlink ref="A61" location="I1_922" display="I1_922" xr:uid="{00000000-0004-0000-0600-000007000000}"/>
    <hyperlink ref="A65" location="I1_923" display="I1_923" xr:uid="{00000000-0004-0000-0600-000008000000}"/>
    <hyperlink ref="A66" location="I1_924" display="I1_924" xr:uid="{00000000-0004-0000-0600-000009000000}"/>
    <hyperlink ref="A69" location="I1_925" display="I1_925" xr:uid="{00000000-0004-0000-0600-00000A000000}"/>
    <hyperlink ref="A70" location="I1_926" display="I1_926" xr:uid="{00000000-0004-0000-0600-00000B000000}"/>
    <hyperlink ref="A74" location="I1_927" display="I1_927" xr:uid="{00000000-0004-0000-0600-00000C000000}"/>
    <hyperlink ref="A75" location="I1_928" display="I1_928" xr:uid="{00000000-0004-0000-0600-00000D000000}"/>
    <hyperlink ref="A76" location="I1_929" display="I1_929" xr:uid="{00000000-0004-0000-0600-00000E000000}"/>
    <hyperlink ref="A78" location="I1_930" display="I1_930" xr:uid="{00000000-0004-0000-0600-00000F000000}"/>
    <hyperlink ref="A79" location="I1_561" display="I1_561" xr:uid="{00000000-0004-0000-0600-000010000000}"/>
    <hyperlink ref="A80" location="I1_574" display="I1_574" xr:uid="{00000000-0004-0000-0600-000011000000}"/>
  </hyperlinks>
  <pageMargins left="0.78740157480314965" right="0.6692913385826772" top="1.1417322834645669" bottom="1.3385826771653544" header="0.51181102362204722" footer="0.51181102362204722"/>
  <pageSetup paperSize="8" scale="61" orientation="landscape" r:id="rId1"/>
  <headerFooter alignWithMargins="0">
    <oddHeader>&amp;R&amp;G</oddHeader>
    <oddFooter>&amp;L&amp;"Arial,Standard"&amp;10&amp;F&amp;C&amp;"Arial,Standard"&amp;10&amp;P / &amp;N &amp;R&amp;"Arial,Standard"&amp;10&amp;D</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278</vt:i4>
      </vt:variant>
    </vt:vector>
  </HeadingPairs>
  <TitlesOfParts>
    <vt:vector size="285" baseType="lpstr">
      <vt:lpstr>I1_Erläuterung</vt:lpstr>
      <vt:lpstr>E1_Projektdaten</vt:lpstr>
      <vt:lpstr>E2_Wärmepreis</vt:lpstr>
      <vt:lpstr>E3_Verbraucher</vt:lpstr>
      <vt:lpstr>B1_Berechnungen</vt:lpstr>
      <vt:lpstr>A1_Ergebnisse</vt:lpstr>
      <vt:lpstr>A2_NPV-Daten</vt:lpstr>
      <vt:lpstr>Anteil_fossil_erzeugt</vt:lpstr>
      <vt:lpstr>A1_Ergebnisse!Druckbereich</vt:lpstr>
      <vt:lpstr>B1_Berechnungen!Druckbereich</vt:lpstr>
      <vt:lpstr>E1_Projektdaten!Druckbereich</vt:lpstr>
      <vt:lpstr>E2_Wärmepreis!Druckbereich</vt:lpstr>
      <vt:lpstr>E3_Verbraucher!Druckbereich</vt:lpstr>
      <vt:lpstr>E1_Projektdaten!Drucktitel</vt:lpstr>
      <vt:lpstr>E3_Verbraucher!Drucktitel</vt:lpstr>
      <vt:lpstr>I1_Erläuterung!Drucktitel</vt:lpstr>
      <vt:lpstr>Eing_Abnehmerart1</vt:lpstr>
      <vt:lpstr>Eing_Abnehmerart2</vt:lpstr>
      <vt:lpstr>Eing_Abnehmerart3</vt:lpstr>
      <vt:lpstr>Eing_Abnehmerart4</vt:lpstr>
      <vt:lpstr>Eing_Administration</vt:lpstr>
      <vt:lpstr>Eing_allg_Teuerung</vt:lpstr>
      <vt:lpstr>Eing_Anteil_Biomasse</vt:lpstr>
      <vt:lpstr>Eing_Arbeitspreis1</vt:lpstr>
      <vt:lpstr>Eing_Arbeitspreis2</vt:lpstr>
      <vt:lpstr>Eing_Arbeitspreis3</vt:lpstr>
      <vt:lpstr>Eing_Arbeitspreis4</vt:lpstr>
      <vt:lpstr>Eing_Beginnjahr</vt:lpstr>
      <vt:lpstr>Eing_Betriebskosten</vt:lpstr>
      <vt:lpstr>Eing_Förderung_wiederholend_Laufzeit</vt:lpstr>
      <vt:lpstr>Eing_Jahresnutzungsgrad_Kessel</vt:lpstr>
      <vt:lpstr>Eing_Kosten_Bau</vt:lpstr>
      <vt:lpstr>Eing_Kosten_Grundstück</vt:lpstr>
      <vt:lpstr>Eing_Kosten_Hausstationen</vt:lpstr>
      <vt:lpstr>Eing_Kosten_Planung_QM</vt:lpstr>
      <vt:lpstr>Eing_Kosten_Wärmeerzeugung</vt:lpstr>
      <vt:lpstr>Eing_Kosten_Wärmenetz</vt:lpstr>
      <vt:lpstr>Eing_Kredit_1</vt:lpstr>
      <vt:lpstr>Eing_Kredit_2</vt:lpstr>
      <vt:lpstr>Eing_Kreditlaufzeit_1</vt:lpstr>
      <vt:lpstr>Eing_Kreditlaufzeit_2</vt:lpstr>
      <vt:lpstr>Eing_Kreditstartjahr_1</vt:lpstr>
      <vt:lpstr>Eing_Kreditstartjahr_2</vt:lpstr>
      <vt:lpstr>Eing_Kreditzinssatz_1</vt:lpstr>
      <vt:lpstr>Eing_Kreditzinssatz_2</vt:lpstr>
      <vt:lpstr>Eing_Leistungspreis1</vt:lpstr>
      <vt:lpstr>Eing_Leistungspreis2</vt:lpstr>
      <vt:lpstr>Eing_Leistungspreis3</vt:lpstr>
      <vt:lpstr>Eing_Leistungspreis4</vt:lpstr>
      <vt:lpstr>Eing_Netzverluste</vt:lpstr>
      <vt:lpstr>Eing_Nominalzins</vt:lpstr>
      <vt:lpstr>Eing_Realzins</vt:lpstr>
      <vt:lpstr>Eing_Rohstoffpreis_Biomasse</vt:lpstr>
      <vt:lpstr>Eing_Rohstoffpreis_fossil</vt:lpstr>
      <vt:lpstr>Eing_Sonstige_Kosten</vt:lpstr>
      <vt:lpstr>Eing_Spez_Stromverbrauch</vt:lpstr>
      <vt:lpstr>Eing_Strompreis</vt:lpstr>
      <vt:lpstr>Eing_Unterhaltskosten</vt:lpstr>
      <vt:lpstr>Eing_verkaufteWM</vt:lpstr>
      <vt:lpstr>Eing_Vertragslaufzeit1</vt:lpstr>
      <vt:lpstr>Eing_Vertragslaufzeit2</vt:lpstr>
      <vt:lpstr>Eing_Vertragslaufzeit3</vt:lpstr>
      <vt:lpstr>Eing_Vertragslaufzeit4</vt:lpstr>
      <vt:lpstr>Eingesetzte_Brennstoffwärme_Biomasse</vt:lpstr>
      <vt:lpstr>Eingesetzte_Brennstoffwärme_fossil</vt:lpstr>
      <vt:lpstr>Einmaliger_Förderbeitrag_1</vt:lpstr>
      <vt:lpstr>Einmaliger_Förderbeitrag_2</vt:lpstr>
      <vt:lpstr>Erg_Wärmepreis</vt:lpstr>
      <vt:lpstr>Ergebnisblatt_Projekttitel</vt:lpstr>
      <vt:lpstr>Erstauszahlung_jährlFörderung</vt:lpstr>
      <vt:lpstr>Erzeugte_Wärmemenge</vt:lpstr>
      <vt:lpstr>Förderlaufzeit</vt:lpstr>
      <vt:lpstr>Förderungsauszahlung_1</vt:lpstr>
      <vt:lpstr>Förderungsauszahlung_2</vt:lpstr>
      <vt:lpstr>Gesamte_Investitionskosten</vt:lpstr>
      <vt:lpstr>Gesamtinvestition</vt:lpstr>
      <vt:lpstr>Gewbl_Wärmemenge</vt:lpstr>
      <vt:lpstr>Grundpreis</vt:lpstr>
      <vt:lpstr>I1_100</vt:lpstr>
      <vt:lpstr>I1_101</vt:lpstr>
      <vt:lpstr>I1_102</vt:lpstr>
      <vt:lpstr>I1_103</vt:lpstr>
      <vt:lpstr>I1_104</vt:lpstr>
      <vt:lpstr>I1_105</vt:lpstr>
      <vt:lpstr>I1_106</vt:lpstr>
      <vt:lpstr>I1_107</vt:lpstr>
      <vt:lpstr>I1_108</vt:lpstr>
      <vt:lpstr>I1_110</vt:lpstr>
      <vt:lpstr>I1_111</vt:lpstr>
      <vt:lpstr>I1_112</vt:lpstr>
      <vt:lpstr>i1_113</vt:lpstr>
      <vt:lpstr>I1_114</vt:lpstr>
      <vt:lpstr>I1_115</vt:lpstr>
      <vt:lpstr>I1_120</vt:lpstr>
      <vt:lpstr>I1_121</vt:lpstr>
      <vt:lpstr>I1_122</vt:lpstr>
      <vt:lpstr>I1_123</vt:lpstr>
      <vt:lpstr>I1_124</vt:lpstr>
      <vt:lpstr>I1_125</vt:lpstr>
      <vt:lpstr>I1_126</vt:lpstr>
      <vt:lpstr>I1_127</vt:lpstr>
      <vt:lpstr>I1_130</vt:lpstr>
      <vt:lpstr>I1_131</vt:lpstr>
      <vt:lpstr>I1_132</vt:lpstr>
      <vt:lpstr>I1_135</vt:lpstr>
      <vt:lpstr>I1_136</vt:lpstr>
      <vt:lpstr>I1_137</vt:lpstr>
      <vt:lpstr>I1_138</vt:lpstr>
      <vt:lpstr>I1_139</vt:lpstr>
      <vt:lpstr>I1_140</vt:lpstr>
      <vt:lpstr>I1_141</vt:lpstr>
      <vt:lpstr>I1_142</vt:lpstr>
      <vt:lpstr>I1_143</vt:lpstr>
      <vt:lpstr>I1_150</vt:lpstr>
      <vt:lpstr>I1_151</vt:lpstr>
      <vt:lpstr>I1_152</vt:lpstr>
      <vt:lpstr>I1_153</vt:lpstr>
      <vt:lpstr>I1_154</vt:lpstr>
      <vt:lpstr>I1_155</vt:lpstr>
      <vt:lpstr>I1_156</vt:lpstr>
      <vt:lpstr>I1_157</vt:lpstr>
      <vt:lpstr>I1_158</vt:lpstr>
      <vt:lpstr>I1_159</vt:lpstr>
      <vt:lpstr>I1_160</vt:lpstr>
      <vt:lpstr>I1_161</vt:lpstr>
      <vt:lpstr>I1_162</vt:lpstr>
      <vt:lpstr>I1_163</vt:lpstr>
      <vt:lpstr>I1_165</vt:lpstr>
      <vt:lpstr>I1_166</vt:lpstr>
      <vt:lpstr>I1_167</vt:lpstr>
      <vt:lpstr>I1_168</vt:lpstr>
      <vt:lpstr>I1_169</vt:lpstr>
      <vt:lpstr>I1_170</vt:lpstr>
      <vt:lpstr>I1_171</vt:lpstr>
      <vt:lpstr>I1_172</vt:lpstr>
      <vt:lpstr>I1_173</vt:lpstr>
      <vt:lpstr>I1_174</vt:lpstr>
      <vt:lpstr>I1_175</vt:lpstr>
      <vt:lpstr>I1_176</vt:lpstr>
      <vt:lpstr>I1_177</vt:lpstr>
      <vt:lpstr>I1_178</vt:lpstr>
      <vt:lpstr>I1_179</vt:lpstr>
      <vt:lpstr>I1_180</vt:lpstr>
      <vt:lpstr>I1_181</vt:lpstr>
      <vt:lpstr>I1_182</vt:lpstr>
      <vt:lpstr>I1_183</vt:lpstr>
      <vt:lpstr>I1_184</vt:lpstr>
      <vt:lpstr>I1_185</vt:lpstr>
      <vt:lpstr>I1_186</vt:lpstr>
      <vt:lpstr>I1_187</vt:lpstr>
      <vt:lpstr>I1_190</vt:lpstr>
      <vt:lpstr>I1_191</vt:lpstr>
      <vt:lpstr>I1_192</vt:lpstr>
      <vt:lpstr>I1_193</vt:lpstr>
      <vt:lpstr>I1_194</vt:lpstr>
      <vt:lpstr>I1_195</vt:lpstr>
      <vt:lpstr>I1_196</vt:lpstr>
      <vt:lpstr>I1_197</vt:lpstr>
      <vt:lpstr>I1_198</vt:lpstr>
      <vt:lpstr>I1_199</vt:lpstr>
      <vt:lpstr>I1_200</vt:lpstr>
      <vt:lpstr>I1_206</vt:lpstr>
      <vt:lpstr>I1_207</vt:lpstr>
      <vt:lpstr>I1_210</vt:lpstr>
      <vt:lpstr>I1_211</vt:lpstr>
      <vt:lpstr>I1_212</vt:lpstr>
      <vt:lpstr>I1_213</vt:lpstr>
      <vt:lpstr>I1_214</vt:lpstr>
      <vt:lpstr>I1_221</vt:lpstr>
      <vt:lpstr>I1_222</vt:lpstr>
      <vt:lpstr>I1_223</vt:lpstr>
      <vt:lpstr>I1_231</vt:lpstr>
      <vt:lpstr>I1_232</vt:lpstr>
      <vt:lpstr>I1_233</vt:lpstr>
      <vt:lpstr>I1_241</vt:lpstr>
      <vt:lpstr>I1_242</vt:lpstr>
      <vt:lpstr>I1_243</vt:lpstr>
      <vt:lpstr>I1_300</vt:lpstr>
      <vt:lpstr>I1_310</vt:lpstr>
      <vt:lpstr>I1_311</vt:lpstr>
      <vt:lpstr>I1_312</vt:lpstr>
      <vt:lpstr>I1_320</vt:lpstr>
      <vt:lpstr>I1_321</vt:lpstr>
      <vt:lpstr>I1_322</vt:lpstr>
      <vt:lpstr>I1_323</vt:lpstr>
      <vt:lpstr>I1_324</vt:lpstr>
      <vt:lpstr>I1_325</vt:lpstr>
      <vt:lpstr>I1_330</vt:lpstr>
      <vt:lpstr>I1_331</vt:lpstr>
      <vt:lpstr>I1_332</vt:lpstr>
      <vt:lpstr>I1_333</vt:lpstr>
      <vt:lpstr>I1_334</vt:lpstr>
      <vt:lpstr>I1_335</vt:lpstr>
      <vt:lpstr>I1_500</vt:lpstr>
      <vt:lpstr>I1_501</vt:lpstr>
      <vt:lpstr>I1_505</vt:lpstr>
      <vt:lpstr>I1_510</vt:lpstr>
      <vt:lpstr>I1_511</vt:lpstr>
      <vt:lpstr>I1_512</vt:lpstr>
      <vt:lpstr>I1_513</vt:lpstr>
      <vt:lpstr>I1_514</vt:lpstr>
      <vt:lpstr>I1_515</vt:lpstr>
      <vt:lpstr>I1_516</vt:lpstr>
      <vt:lpstr>I1_517</vt:lpstr>
      <vt:lpstr>I1_518</vt:lpstr>
      <vt:lpstr>I1_519</vt:lpstr>
      <vt:lpstr>I1_520</vt:lpstr>
      <vt:lpstr>I1_530</vt:lpstr>
      <vt:lpstr>I1_531</vt:lpstr>
      <vt:lpstr>I1_550</vt:lpstr>
      <vt:lpstr>I1_551</vt:lpstr>
      <vt:lpstr>I1_552</vt:lpstr>
      <vt:lpstr>I1_553</vt:lpstr>
      <vt:lpstr>I1_554</vt:lpstr>
      <vt:lpstr>I1_555</vt:lpstr>
      <vt:lpstr>I1_556</vt:lpstr>
      <vt:lpstr>I1_557</vt:lpstr>
      <vt:lpstr>I1_558</vt:lpstr>
      <vt:lpstr>I1_559</vt:lpstr>
      <vt:lpstr>I1_560</vt:lpstr>
      <vt:lpstr>I1_561</vt:lpstr>
      <vt:lpstr>I1_562</vt:lpstr>
      <vt:lpstr>I1_563</vt:lpstr>
      <vt:lpstr>I1_564</vt:lpstr>
      <vt:lpstr>I1_571</vt:lpstr>
      <vt:lpstr>I1_572</vt:lpstr>
      <vt:lpstr>I1_573</vt:lpstr>
      <vt:lpstr>I1_574</vt:lpstr>
      <vt:lpstr>I1_575</vt:lpstr>
      <vt:lpstr>I1_576</vt:lpstr>
      <vt:lpstr>I1_577</vt:lpstr>
      <vt:lpstr>I1_578</vt:lpstr>
      <vt:lpstr>I1_580</vt:lpstr>
      <vt:lpstr>I1_581</vt:lpstr>
      <vt:lpstr>I1_582</vt:lpstr>
      <vt:lpstr>I1_583</vt:lpstr>
      <vt:lpstr>I1_584</vt:lpstr>
      <vt:lpstr>I1_586</vt:lpstr>
      <vt:lpstr>I1_587</vt:lpstr>
      <vt:lpstr>I1_588</vt:lpstr>
      <vt:lpstr>I1_589</vt:lpstr>
      <vt:lpstr>I1_590</vt:lpstr>
      <vt:lpstr>I1_591</vt:lpstr>
      <vt:lpstr>I1_600</vt:lpstr>
      <vt:lpstr>I1_610</vt:lpstr>
      <vt:lpstr>I1_612</vt:lpstr>
      <vt:lpstr>I1_613</vt:lpstr>
      <vt:lpstr>I1_615</vt:lpstr>
      <vt:lpstr>I1_620</vt:lpstr>
      <vt:lpstr>I1_621</vt:lpstr>
      <vt:lpstr>I1_622</vt:lpstr>
      <vt:lpstr>I1_623</vt:lpstr>
      <vt:lpstr>I1_624</vt:lpstr>
      <vt:lpstr>I1_625</vt:lpstr>
      <vt:lpstr>I1_626</vt:lpstr>
      <vt:lpstr>I1_627</vt:lpstr>
      <vt:lpstr>I1_650</vt:lpstr>
      <vt:lpstr>I1_651</vt:lpstr>
      <vt:lpstr>I1_652</vt:lpstr>
      <vt:lpstr>I1_653</vt:lpstr>
      <vt:lpstr>I1_660</vt:lpstr>
      <vt:lpstr>I1_661</vt:lpstr>
      <vt:lpstr>I1_690</vt:lpstr>
      <vt:lpstr>I1_900</vt:lpstr>
      <vt:lpstr>I1_910</vt:lpstr>
      <vt:lpstr>I1_911</vt:lpstr>
      <vt:lpstr>I1_912</vt:lpstr>
      <vt:lpstr>I1_920</vt:lpstr>
      <vt:lpstr>I1_921</vt:lpstr>
      <vt:lpstr>I1_922</vt:lpstr>
      <vt:lpstr>I1_923</vt:lpstr>
      <vt:lpstr>I1_924</vt:lpstr>
      <vt:lpstr>I1_925</vt:lpstr>
      <vt:lpstr>I1_926</vt:lpstr>
      <vt:lpstr>I1_927</vt:lpstr>
      <vt:lpstr>I1_928</vt:lpstr>
      <vt:lpstr>I1_929</vt:lpstr>
      <vt:lpstr>I1_930</vt:lpstr>
      <vt:lpstr>jährlicher_Förderbeitrag</vt:lpstr>
      <vt:lpstr>jährlicher_Stromverbrauch</vt:lpstr>
      <vt:lpstr>järhliche_Stromkosten</vt:lpstr>
      <vt:lpstr>maxEigenkapital</vt:lpstr>
      <vt:lpstr>Realzins</vt:lpstr>
      <vt:lpstr>Stromverbrauch</vt:lpstr>
      <vt:lpstr>Wärmepreis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Patrik Küttel</dc:creator>
  <cp:lastModifiedBy>Patrik Küttel</cp:lastModifiedBy>
  <cp:lastPrinted>2022-05-10T15:00:59Z</cp:lastPrinted>
  <dcterms:created xsi:type="dcterms:W3CDTF">2008-04-08T07:16:33Z</dcterms:created>
  <dcterms:modified xsi:type="dcterms:W3CDTF">2022-06-28T10:18:02Z</dcterms:modified>
</cp:coreProperties>
</file>